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23F346AC-6FEC-46AE-97A7-AADE2903A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" sheetId="9" r:id="rId1"/>
    <sheet name="Předpoklady" sheetId="5" r:id="rId2"/>
    <sheet name="Plán" sheetId="6" r:id="rId3"/>
    <sheet name="Ocenění" sheetId="7" r:id="rId4"/>
    <sheet name="Iterace" sheetId="8" r:id="rId5"/>
  </sheets>
  <definedNames>
    <definedName name="rok">Předpoklady!$E$3</definedName>
  </definedNames>
  <calcPr calcId="191029" iterate="1"/>
</workbook>
</file>

<file path=xl/calcChain.xml><?xml version="1.0" encoding="utf-8"?>
<calcChain xmlns="http://schemas.openxmlformats.org/spreadsheetml/2006/main">
  <c r="B40" i="6" l="1"/>
  <c r="B28" i="6"/>
  <c r="B24" i="6"/>
  <c r="B23" i="6" s="1"/>
  <c r="B6" i="6"/>
  <c r="B12" i="6" s="1"/>
  <c r="B14" i="6" s="1"/>
  <c r="B16" i="6" s="1"/>
  <c r="B39" i="6" s="1"/>
  <c r="B35" i="6" s="1"/>
  <c r="A13" i="6"/>
  <c r="B64" i="7"/>
  <c r="B63" i="7"/>
  <c r="A76" i="7"/>
  <c r="C62" i="7"/>
  <c r="D62" i="7" s="1"/>
  <c r="A59" i="7"/>
  <c r="D32" i="8"/>
  <c r="E32" i="8"/>
  <c r="F32" i="8"/>
  <c r="G32" i="8"/>
  <c r="H32" i="8"/>
  <c r="I32" i="8"/>
  <c r="J32" i="8"/>
  <c r="C32" i="8"/>
  <c r="C91" i="8"/>
  <c r="D91" i="8" s="1"/>
  <c r="C45" i="8"/>
  <c r="D45" i="8" s="1"/>
  <c r="C3" i="8"/>
  <c r="B3" i="8" s="1"/>
  <c r="C13" i="8"/>
  <c r="D13" i="8" s="1"/>
  <c r="E13" i="8" s="1"/>
  <c r="F13" i="8" s="1"/>
  <c r="G13" i="8" s="1"/>
  <c r="H13" i="8" s="1"/>
  <c r="I13" i="8" s="1"/>
  <c r="J13" i="8" s="1"/>
  <c r="C26" i="8"/>
  <c r="D26" i="8" s="1"/>
  <c r="E26" i="8" s="1"/>
  <c r="F26" i="8" s="1"/>
  <c r="G26" i="8" s="1"/>
  <c r="H26" i="8" s="1"/>
  <c r="I26" i="8" s="1"/>
  <c r="J26" i="8" s="1"/>
  <c r="A43" i="8"/>
  <c r="B41" i="7"/>
  <c r="C26" i="7"/>
  <c r="D26" i="7" s="1"/>
  <c r="G32" i="7"/>
  <c r="A38" i="7"/>
  <c r="E42" i="5"/>
  <c r="B51" i="7" s="1"/>
  <c r="C51" i="7" s="1"/>
  <c r="C50" i="7"/>
  <c r="D50" i="7" s="1"/>
  <c r="D32" i="7"/>
  <c r="E32" i="7"/>
  <c r="F32" i="7"/>
  <c r="H32" i="7"/>
  <c r="I32" i="7"/>
  <c r="J32" i="7"/>
  <c r="C32" i="7"/>
  <c r="A47" i="7"/>
  <c r="C3" i="7"/>
  <c r="B3" i="7" s="1"/>
  <c r="C25" i="6"/>
  <c r="C26" i="6"/>
  <c r="D26" i="6" s="1"/>
  <c r="C27" i="6"/>
  <c r="C29" i="8" s="1"/>
  <c r="C8" i="6"/>
  <c r="D8" i="6" s="1"/>
  <c r="E8" i="6" s="1"/>
  <c r="F8" i="6" s="1"/>
  <c r="G8" i="6" s="1"/>
  <c r="H8" i="6" s="1"/>
  <c r="I8" i="6" s="1"/>
  <c r="J8" i="6" s="1"/>
  <c r="C9" i="6"/>
  <c r="D9" i="6" s="1"/>
  <c r="E9" i="6" s="1"/>
  <c r="F9" i="6" s="1"/>
  <c r="G9" i="6" s="1"/>
  <c r="H9" i="6" s="1"/>
  <c r="I9" i="6" s="1"/>
  <c r="J9" i="6" s="1"/>
  <c r="C11" i="6"/>
  <c r="D11" i="6" s="1"/>
  <c r="E11" i="6" s="1"/>
  <c r="F11" i="6" s="1"/>
  <c r="G11" i="6" s="1"/>
  <c r="H11" i="6" s="1"/>
  <c r="I11" i="6" s="1"/>
  <c r="J11" i="6" s="1"/>
  <c r="C147" i="8"/>
  <c r="C58" i="8"/>
  <c r="B5" i="8"/>
  <c r="B6" i="8"/>
  <c r="C36" i="6"/>
  <c r="D36" i="6" s="1"/>
  <c r="E36" i="6" s="1"/>
  <c r="F36" i="6" s="1"/>
  <c r="G36" i="6" s="1"/>
  <c r="H36" i="6" s="1"/>
  <c r="I36" i="6" s="1"/>
  <c r="J36" i="6" s="1"/>
  <c r="C37" i="6"/>
  <c r="D37" i="6" s="1"/>
  <c r="E37" i="6" s="1"/>
  <c r="F37" i="6" s="1"/>
  <c r="G37" i="6" s="1"/>
  <c r="H37" i="6" s="1"/>
  <c r="I37" i="6" s="1"/>
  <c r="J37" i="6" s="1"/>
  <c r="C13" i="7"/>
  <c r="D13" i="7" s="1"/>
  <c r="E13" i="7" s="1"/>
  <c r="F13" i="7" s="1"/>
  <c r="G13" i="7" s="1"/>
  <c r="H13" i="7" s="1"/>
  <c r="I13" i="7" s="1"/>
  <c r="J13" i="7" s="1"/>
  <c r="C40" i="7"/>
  <c r="D40" i="7" s="1"/>
  <c r="E40" i="7" s="1"/>
  <c r="F40" i="7" s="1"/>
  <c r="G40" i="7" s="1"/>
  <c r="H40" i="7" s="1"/>
  <c r="I40" i="7" s="1"/>
  <c r="J40" i="7" s="1"/>
  <c r="B21" i="6"/>
  <c r="C21" i="6" s="1"/>
  <c r="D21" i="6" s="1"/>
  <c r="E21" i="6" s="1"/>
  <c r="F21" i="6" s="1"/>
  <c r="G21" i="6" s="1"/>
  <c r="H21" i="6" s="1"/>
  <c r="I21" i="6" s="1"/>
  <c r="J21" i="6" s="1"/>
  <c r="B4" i="6"/>
  <c r="C4" i="6" s="1"/>
  <c r="D4" i="6" s="1"/>
  <c r="E4" i="6" s="1"/>
  <c r="F4" i="6" s="1"/>
  <c r="G4" i="6" s="1"/>
  <c r="H4" i="6" s="1"/>
  <c r="I4" i="6" s="1"/>
  <c r="J4" i="6" s="1"/>
  <c r="B33" i="6"/>
  <c r="C33" i="6" s="1"/>
  <c r="D33" i="6" s="1"/>
  <c r="E33" i="6" s="1"/>
  <c r="F33" i="6" s="1"/>
  <c r="G33" i="6" s="1"/>
  <c r="H33" i="6" s="1"/>
  <c r="I33" i="6" s="1"/>
  <c r="J33" i="6" s="1"/>
  <c r="C10" i="6"/>
  <c r="B6" i="7"/>
  <c r="C56" i="7"/>
  <c r="I56" i="7"/>
  <c r="G56" i="7"/>
  <c r="E56" i="7"/>
  <c r="C42" i="6"/>
  <c r="D140" i="8" s="1"/>
  <c r="C112" i="8"/>
  <c r="C98" i="8"/>
  <c r="C53" i="8"/>
  <c r="C105" i="8"/>
  <c r="B5" i="7"/>
  <c r="J56" i="7"/>
  <c r="H56" i="7"/>
  <c r="F56" i="7"/>
  <c r="D56" i="7"/>
  <c r="C63" i="8"/>
  <c r="C35" i="8"/>
  <c r="D42" i="6"/>
  <c r="E147" i="8" s="1"/>
  <c r="E63" i="8"/>
  <c r="D3" i="7"/>
  <c r="E3" i="7" s="1"/>
  <c r="F3" i="7" s="1"/>
  <c r="G3" i="7" s="1"/>
  <c r="H3" i="7" s="1"/>
  <c r="I3" i="7" s="1"/>
  <c r="J3" i="7" s="1"/>
  <c r="B94" i="8"/>
  <c r="D27" i="6"/>
  <c r="D29" i="8" s="1"/>
  <c r="C28" i="8"/>
  <c r="C63" i="7"/>
  <c r="E112" i="8" l="1"/>
  <c r="C35" i="7"/>
  <c r="D63" i="8"/>
  <c r="B49" i="8"/>
  <c r="E50" i="7"/>
  <c r="E51" i="7" s="1"/>
  <c r="D51" i="7"/>
  <c r="C29" i="7"/>
  <c r="B34" i="6"/>
  <c r="E27" i="6"/>
  <c r="C28" i="7"/>
  <c r="E26" i="6"/>
  <c r="F26" i="6" s="1"/>
  <c r="D28" i="8"/>
  <c r="D28" i="7"/>
  <c r="D29" i="7"/>
  <c r="D22" i="7"/>
  <c r="D35" i="8"/>
  <c r="B4" i="7"/>
  <c r="B22" i="6"/>
  <c r="B4" i="8"/>
  <c r="E91" i="8"/>
  <c r="B101" i="8"/>
  <c r="B54" i="8"/>
  <c r="E45" i="8"/>
  <c r="C64" i="7"/>
  <c r="C41" i="7"/>
  <c r="D3" i="8"/>
  <c r="E3" i="8" s="1"/>
  <c r="F3" i="8" s="1"/>
  <c r="G3" i="8" s="1"/>
  <c r="H3" i="8" s="1"/>
  <c r="I3" i="8" s="1"/>
  <c r="J3" i="8" s="1"/>
  <c r="C5" i="6"/>
  <c r="D64" i="7"/>
  <c r="D63" i="7"/>
  <c r="E62" i="7"/>
  <c r="E29" i="7"/>
  <c r="D22" i="8"/>
  <c r="D35" i="7"/>
  <c r="E42" i="6"/>
  <c r="F147" i="8" s="1"/>
  <c r="C22" i="7"/>
  <c r="D112" i="8"/>
  <c r="C22" i="8"/>
  <c r="D58" i="8"/>
  <c r="D105" i="8"/>
  <c r="C27" i="7"/>
  <c r="D25" i="6"/>
  <c r="C24" i="6"/>
  <c r="C23" i="6" s="1"/>
  <c r="C27" i="8"/>
  <c r="D10" i="6"/>
  <c r="C17" i="7"/>
  <c r="C17" i="8"/>
  <c r="E26" i="7"/>
  <c r="D41" i="7"/>
  <c r="C73" i="7"/>
  <c r="E73" i="7"/>
  <c r="G73" i="7"/>
  <c r="I73" i="7"/>
  <c r="C68" i="8"/>
  <c r="E68" i="8"/>
  <c r="C73" i="8"/>
  <c r="E73" i="8"/>
  <c r="D78" i="8"/>
  <c r="F78" i="8"/>
  <c r="D83" i="8"/>
  <c r="F83" i="8"/>
  <c r="C88" i="8"/>
  <c r="E88" i="8"/>
  <c r="D13" i="6"/>
  <c r="D119" i="8"/>
  <c r="C126" i="8"/>
  <c r="E126" i="8"/>
  <c r="D133" i="8"/>
  <c r="C140" i="8"/>
  <c r="E140" i="8"/>
  <c r="D147" i="8"/>
  <c r="F119" i="8"/>
  <c r="D73" i="7"/>
  <c r="F73" i="7"/>
  <c r="H73" i="7"/>
  <c r="J73" i="7"/>
  <c r="C69" i="7"/>
  <c r="D69" i="7"/>
  <c r="E69" i="7"/>
  <c r="F69" i="7"/>
  <c r="D68" i="8"/>
  <c r="F68" i="8"/>
  <c r="D73" i="8"/>
  <c r="C78" i="8"/>
  <c r="E78" i="8"/>
  <c r="C83" i="8"/>
  <c r="E83" i="8"/>
  <c r="D88" i="8"/>
  <c r="C13" i="6"/>
  <c r="E13" i="6"/>
  <c r="C119" i="8"/>
  <c r="E119" i="8"/>
  <c r="D126" i="8"/>
  <c r="C133" i="8"/>
  <c r="E133" i="8"/>
  <c r="F126" i="8"/>
  <c r="F88" i="8" l="1"/>
  <c r="E28" i="7"/>
  <c r="F50" i="7"/>
  <c r="G50" i="7" s="1"/>
  <c r="F133" i="8"/>
  <c r="F13" i="6"/>
  <c r="F73" i="8"/>
  <c r="E28" i="8"/>
  <c r="E29" i="8"/>
  <c r="F27" i="6"/>
  <c r="B108" i="8"/>
  <c r="F91" i="8"/>
  <c r="B59" i="8"/>
  <c r="F45" i="8"/>
  <c r="B8" i="7"/>
  <c r="B8" i="8"/>
  <c r="F140" i="8"/>
  <c r="F42" i="6"/>
  <c r="E22" i="7"/>
  <c r="E35" i="7"/>
  <c r="E35" i="8"/>
  <c r="E22" i="8"/>
  <c r="E63" i="7"/>
  <c r="E64" i="7"/>
  <c r="E70" i="7" s="1"/>
  <c r="F62" i="7"/>
  <c r="C29" i="6"/>
  <c r="C41" i="6"/>
  <c r="C7" i="6"/>
  <c r="C6" i="6" s="1"/>
  <c r="C12" i="6" s="1"/>
  <c r="C14" i="8" s="1"/>
  <c r="C30" i="6"/>
  <c r="D5" i="6"/>
  <c r="C21" i="7"/>
  <c r="C21" i="8"/>
  <c r="F48" i="8"/>
  <c r="D48" i="8"/>
  <c r="D70" i="7"/>
  <c r="F21" i="8"/>
  <c r="F21" i="7"/>
  <c r="C14" i="7"/>
  <c r="F28" i="7"/>
  <c r="F28" i="8"/>
  <c r="G26" i="6"/>
  <c r="C4" i="7"/>
  <c r="C4" i="8"/>
  <c r="E21" i="8"/>
  <c r="E21" i="7"/>
  <c r="E48" i="8"/>
  <c r="C70" i="7"/>
  <c r="C48" i="8"/>
  <c r="D21" i="8"/>
  <c r="D21" i="7"/>
  <c r="E41" i="7"/>
  <c r="F26" i="7"/>
  <c r="E10" i="6"/>
  <c r="D17" i="8"/>
  <c r="D17" i="7"/>
  <c r="E25" i="6"/>
  <c r="D27" i="7"/>
  <c r="D27" i="8"/>
  <c r="D24" i="6"/>
  <c r="D23" i="6" s="1"/>
  <c r="F51" i="7" l="1"/>
  <c r="C14" i="6"/>
  <c r="F29" i="7"/>
  <c r="G27" i="6"/>
  <c r="F29" i="8"/>
  <c r="B64" i="8"/>
  <c r="G45" i="8"/>
  <c r="G91" i="8"/>
  <c r="B115" i="8"/>
  <c r="C6" i="8"/>
  <c r="C31" i="7"/>
  <c r="C6" i="7"/>
  <c r="C31" i="8"/>
  <c r="C8" i="8"/>
  <c r="C40" i="6"/>
  <c r="C33" i="8"/>
  <c r="C33" i="7"/>
  <c r="C8" i="7"/>
  <c r="F64" i="7"/>
  <c r="F70" i="7" s="1"/>
  <c r="F71" i="7" s="1"/>
  <c r="F39" i="8" s="1"/>
  <c r="G62" i="7"/>
  <c r="F63" i="7"/>
  <c r="H50" i="7"/>
  <c r="G51" i="7"/>
  <c r="D41" i="6"/>
  <c r="D7" i="6"/>
  <c r="D6" i="6" s="1"/>
  <c r="D12" i="6" s="1"/>
  <c r="D29" i="6"/>
  <c r="D30" i="6"/>
  <c r="E5" i="6"/>
  <c r="C5" i="7"/>
  <c r="C30" i="8"/>
  <c r="C5" i="8"/>
  <c r="C30" i="7"/>
  <c r="G147" i="8"/>
  <c r="F35" i="8"/>
  <c r="F22" i="8"/>
  <c r="G42" i="6"/>
  <c r="F35" i="7"/>
  <c r="F22" i="7"/>
  <c r="G73" i="8"/>
  <c r="G133" i="8"/>
  <c r="G69" i="7"/>
  <c r="G78" i="8"/>
  <c r="G88" i="8"/>
  <c r="G126" i="8"/>
  <c r="G140" i="8"/>
  <c r="G83" i="8"/>
  <c r="G13" i="6"/>
  <c r="D4" i="7"/>
  <c r="D4" i="8"/>
  <c r="F10" i="6"/>
  <c r="E17" i="8"/>
  <c r="E17" i="7"/>
  <c r="C71" i="7"/>
  <c r="C39" i="8" s="1"/>
  <c r="D71" i="7"/>
  <c r="D39" i="8" s="1"/>
  <c r="E71" i="7"/>
  <c r="E39" i="8" s="1"/>
  <c r="E60" i="8"/>
  <c r="D60" i="8" s="1"/>
  <c r="C60" i="8" s="1"/>
  <c r="C18" i="8"/>
  <c r="G28" i="7"/>
  <c r="H26" i="6"/>
  <c r="G28" i="8"/>
  <c r="C15" i="8"/>
  <c r="C16" i="8" s="1"/>
  <c r="D55" i="8"/>
  <c r="C55" i="8" s="1"/>
  <c r="E27" i="8"/>
  <c r="E27" i="7"/>
  <c r="F25" i="6"/>
  <c r="E24" i="6"/>
  <c r="E23" i="6" s="1"/>
  <c r="F41" i="7"/>
  <c r="G26" i="7"/>
  <c r="C50" i="8"/>
  <c r="C18" i="7"/>
  <c r="C15" i="6"/>
  <c r="C16" i="6" s="1"/>
  <c r="C15" i="7"/>
  <c r="C16" i="7" s="1"/>
  <c r="F65" i="8"/>
  <c r="C34" i="7" l="1"/>
  <c r="C67" i="7" s="1"/>
  <c r="G29" i="8"/>
  <c r="H27" i="6"/>
  <c r="G29" i="7"/>
  <c r="B122" i="8"/>
  <c r="H91" i="8"/>
  <c r="B69" i="8"/>
  <c r="H45" i="8"/>
  <c r="G21" i="8"/>
  <c r="G21" i="7"/>
  <c r="G48" i="8"/>
  <c r="G70" i="8" s="1"/>
  <c r="F70" i="8" s="1"/>
  <c r="D31" i="8"/>
  <c r="D6" i="8"/>
  <c r="D31" i="7"/>
  <c r="D6" i="7"/>
  <c r="D14" i="8"/>
  <c r="D15" i="8" s="1"/>
  <c r="D16" i="8" s="1"/>
  <c r="D14" i="7"/>
  <c r="D15" i="7" s="1"/>
  <c r="D16" i="7" s="1"/>
  <c r="D14" i="6"/>
  <c r="D15" i="6" s="1"/>
  <c r="D16" i="6" s="1"/>
  <c r="D39" i="6" s="1"/>
  <c r="H140" i="8"/>
  <c r="G22" i="7"/>
  <c r="G22" i="8"/>
  <c r="H83" i="8"/>
  <c r="H13" i="6"/>
  <c r="H147" i="8"/>
  <c r="G35" i="7"/>
  <c r="H88" i="8"/>
  <c r="H133" i="8"/>
  <c r="H78" i="8"/>
  <c r="G35" i="8"/>
  <c r="H42" i="6"/>
  <c r="H69" i="7"/>
  <c r="E30" i="6"/>
  <c r="E41" i="6"/>
  <c r="E7" i="6"/>
  <c r="E6" i="6" s="1"/>
  <c r="E12" i="6" s="1"/>
  <c r="E14" i="7" s="1"/>
  <c r="E29" i="6"/>
  <c r="F5" i="6"/>
  <c r="D5" i="7"/>
  <c r="D30" i="7"/>
  <c r="D30" i="8"/>
  <c r="D5" i="8"/>
  <c r="D33" i="8"/>
  <c r="D33" i="7"/>
  <c r="D40" i="6"/>
  <c r="D8" i="8"/>
  <c r="D8" i="7"/>
  <c r="H51" i="7"/>
  <c r="I50" i="7"/>
  <c r="G63" i="7"/>
  <c r="H62" i="7"/>
  <c r="G64" i="7"/>
  <c r="G70" i="7" s="1"/>
  <c r="C34" i="8"/>
  <c r="C39" i="6"/>
  <c r="C17" i="6"/>
  <c r="G41" i="7"/>
  <c r="H26" i="7"/>
  <c r="E4" i="7"/>
  <c r="E4" i="8"/>
  <c r="F17" i="7"/>
  <c r="F17" i="8"/>
  <c r="G10" i="6"/>
  <c r="D18" i="7"/>
  <c r="E65" i="8"/>
  <c r="F27" i="7"/>
  <c r="F27" i="8"/>
  <c r="G25" i="6"/>
  <c r="F24" i="6"/>
  <c r="F23" i="6" s="1"/>
  <c r="H28" i="7"/>
  <c r="I26" i="6"/>
  <c r="H28" i="8"/>
  <c r="E14" i="6"/>
  <c r="E14" i="8"/>
  <c r="D18" i="8"/>
  <c r="E70" i="8"/>
  <c r="C54" i="7" l="1"/>
  <c r="D17" i="6"/>
  <c r="C36" i="7"/>
  <c r="C44" i="7" s="1"/>
  <c r="H29" i="7"/>
  <c r="I27" i="6"/>
  <c r="H29" i="8"/>
  <c r="I45" i="8"/>
  <c r="B74" i="8"/>
  <c r="I91" i="8"/>
  <c r="B129" i="8"/>
  <c r="G71" i="7"/>
  <c r="G39" i="8" s="1"/>
  <c r="H64" i="7"/>
  <c r="H70" i="7" s="1"/>
  <c r="H71" i="7" s="1"/>
  <c r="H39" i="8" s="1"/>
  <c r="I62" i="7"/>
  <c r="H63" i="7"/>
  <c r="J50" i="7"/>
  <c r="J51" i="7" s="1"/>
  <c r="I51" i="7"/>
  <c r="E30" i="7"/>
  <c r="E5" i="7"/>
  <c r="E5" i="8"/>
  <c r="E30" i="8"/>
  <c r="E40" i="6"/>
  <c r="E8" i="8"/>
  <c r="E33" i="8"/>
  <c r="E33" i="7"/>
  <c r="E8" i="7"/>
  <c r="I13" i="6"/>
  <c r="I69" i="7"/>
  <c r="H22" i="8"/>
  <c r="I140" i="8"/>
  <c r="H35" i="8"/>
  <c r="I147" i="8"/>
  <c r="I83" i="8"/>
  <c r="I42" i="6"/>
  <c r="H35" i="7"/>
  <c r="I88" i="8"/>
  <c r="H22" i="7"/>
  <c r="C36" i="8"/>
  <c r="C47" i="8" s="1"/>
  <c r="C93" i="8"/>
  <c r="F7" i="6"/>
  <c r="F6" i="6" s="1"/>
  <c r="F12" i="6" s="1"/>
  <c r="F14" i="8" s="1"/>
  <c r="G5" i="6"/>
  <c r="F41" i="6"/>
  <c r="F29" i="6"/>
  <c r="F30" i="6"/>
  <c r="E6" i="7"/>
  <c r="E6" i="8"/>
  <c r="E31" i="8"/>
  <c r="E31" i="7"/>
  <c r="H48" i="8"/>
  <c r="H75" i="8" s="1"/>
  <c r="G75" i="8" s="1"/>
  <c r="F75" i="8" s="1"/>
  <c r="H21" i="7"/>
  <c r="H21" i="8"/>
  <c r="D34" i="8"/>
  <c r="D34" i="7"/>
  <c r="E15" i="7"/>
  <c r="E16" i="7" s="1"/>
  <c r="E15" i="6"/>
  <c r="E16" i="6" s="1"/>
  <c r="J26" i="6"/>
  <c r="I28" i="7"/>
  <c r="I28" i="8"/>
  <c r="H25" i="6"/>
  <c r="G27" i="8"/>
  <c r="G27" i="7"/>
  <c r="G24" i="6"/>
  <c r="G23" i="6" s="1"/>
  <c r="G17" i="8"/>
  <c r="G17" i="7"/>
  <c r="H10" i="6"/>
  <c r="E18" i="8"/>
  <c r="E18" i="7"/>
  <c r="D70" i="8"/>
  <c r="E15" i="8"/>
  <c r="E16" i="8" s="1"/>
  <c r="F4" i="8"/>
  <c r="F4" i="7"/>
  <c r="D65" i="8"/>
  <c r="F14" i="7"/>
  <c r="I26" i="7"/>
  <c r="H41" i="7"/>
  <c r="F14" i="6" l="1"/>
  <c r="F15" i="6" s="1"/>
  <c r="F16" i="6" s="1"/>
  <c r="I29" i="7"/>
  <c r="I29" i="8"/>
  <c r="J27" i="6"/>
  <c r="J91" i="8"/>
  <c r="B143" i="8" s="1"/>
  <c r="B136" i="8"/>
  <c r="B79" i="8"/>
  <c r="J45" i="8"/>
  <c r="B84" i="8" s="1"/>
  <c r="D36" i="8"/>
  <c r="D47" i="8" s="1"/>
  <c r="D93" i="8"/>
  <c r="F31" i="8"/>
  <c r="F6" i="8"/>
  <c r="F31" i="7"/>
  <c r="F6" i="7"/>
  <c r="F8" i="8"/>
  <c r="F8" i="7"/>
  <c r="F33" i="8"/>
  <c r="F33" i="7"/>
  <c r="F40" i="6"/>
  <c r="J88" i="8"/>
  <c r="I22" i="8"/>
  <c r="J13" i="6"/>
  <c r="J42" i="6"/>
  <c r="I35" i="7"/>
  <c r="I22" i="7"/>
  <c r="J147" i="8"/>
  <c r="J69" i="7"/>
  <c r="I35" i="8"/>
  <c r="I48" i="8"/>
  <c r="I80" i="8" s="1"/>
  <c r="H80" i="8" s="1"/>
  <c r="I63" i="7"/>
  <c r="I64" i="7"/>
  <c r="I70" i="7" s="1"/>
  <c r="I71" i="7" s="1"/>
  <c r="I39" i="8" s="1"/>
  <c r="J62" i="7"/>
  <c r="D36" i="7"/>
  <c r="D44" i="7" s="1"/>
  <c r="D54" i="7"/>
  <c r="D67" i="7"/>
  <c r="F30" i="8"/>
  <c r="F5" i="8"/>
  <c r="F30" i="7"/>
  <c r="F5" i="7"/>
  <c r="G41" i="6"/>
  <c r="G7" i="6"/>
  <c r="G6" i="6" s="1"/>
  <c r="G12" i="6" s="1"/>
  <c r="G14" i="8" s="1"/>
  <c r="G29" i="6"/>
  <c r="H5" i="6"/>
  <c r="G30" i="6"/>
  <c r="I21" i="8"/>
  <c r="I21" i="7"/>
  <c r="E34" i="7"/>
  <c r="E34" i="8"/>
  <c r="G80" i="8"/>
  <c r="F15" i="7"/>
  <c r="F16" i="7" s="1"/>
  <c r="C38" i="6"/>
  <c r="F18" i="7"/>
  <c r="C70" i="8"/>
  <c r="I10" i="6"/>
  <c r="H17" i="8"/>
  <c r="H17" i="7"/>
  <c r="G4" i="8"/>
  <c r="G4" i="7"/>
  <c r="J28" i="7"/>
  <c r="J28" i="8"/>
  <c r="J26" i="7"/>
  <c r="J41" i="7" s="1"/>
  <c r="I41" i="7"/>
  <c r="F15" i="8"/>
  <c r="F16" i="8" s="1"/>
  <c r="C65" i="8"/>
  <c r="F18" i="8"/>
  <c r="G14" i="7"/>
  <c r="G14" i="6"/>
  <c r="E75" i="8"/>
  <c r="H27" i="8"/>
  <c r="H27" i="7"/>
  <c r="I25" i="6"/>
  <c r="H24" i="6"/>
  <c r="H23" i="6" s="1"/>
  <c r="E39" i="6"/>
  <c r="E17" i="6"/>
  <c r="F34" i="7" l="1"/>
  <c r="J29" i="7"/>
  <c r="J29" i="8"/>
  <c r="F34" i="8"/>
  <c r="F93" i="8" s="1"/>
  <c r="E54" i="7"/>
  <c r="E67" i="7"/>
  <c r="E36" i="7"/>
  <c r="E44" i="7" s="1"/>
  <c r="G6" i="7"/>
  <c r="G31" i="8"/>
  <c r="G31" i="7"/>
  <c r="G6" i="8"/>
  <c r="G30" i="8"/>
  <c r="G5" i="8"/>
  <c r="G30" i="7"/>
  <c r="G5" i="7"/>
  <c r="G8" i="7"/>
  <c r="G33" i="7"/>
  <c r="G40" i="6"/>
  <c r="G8" i="8"/>
  <c r="G33" i="8"/>
  <c r="F54" i="7"/>
  <c r="F67" i="7"/>
  <c r="F36" i="7"/>
  <c r="F44" i="7" s="1"/>
  <c r="F36" i="8"/>
  <c r="F47" i="8" s="1"/>
  <c r="J63" i="7"/>
  <c r="J64" i="7"/>
  <c r="J70" i="7" s="1"/>
  <c r="J71" i="7" s="1"/>
  <c r="J39" i="8" s="1"/>
  <c r="J48" i="8"/>
  <c r="J85" i="8" s="1"/>
  <c r="I85" i="8" s="1"/>
  <c r="H85" i="8" s="1"/>
  <c r="G85" i="8" s="1"/>
  <c r="F85" i="8" s="1"/>
  <c r="J35" i="7"/>
  <c r="J22" i="7"/>
  <c r="J35" i="8"/>
  <c r="J22" i="8"/>
  <c r="E93" i="8"/>
  <c r="E36" i="8"/>
  <c r="E47" i="8" s="1"/>
  <c r="H29" i="6"/>
  <c r="H30" i="6"/>
  <c r="H7" i="6"/>
  <c r="H6" i="6" s="1"/>
  <c r="H12" i="6" s="1"/>
  <c r="H14" i="6" s="1"/>
  <c r="H41" i="6"/>
  <c r="I5" i="6"/>
  <c r="J21" i="7"/>
  <c r="J21" i="8"/>
  <c r="F17" i="6"/>
  <c r="F39" i="6"/>
  <c r="H4" i="7"/>
  <c r="H4" i="8"/>
  <c r="I27" i="8"/>
  <c r="I27" i="7"/>
  <c r="J25" i="6"/>
  <c r="I24" i="6"/>
  <c r="I23" i="6" s="1"/>
  <c r="D75" i="8"/>
  <c r="G15" i="6"/>
  <c r="G16" i="6" s="1"/>
  <c r="G15" i="8"/>
  <c r="G16" i="8" s="1"/>
  <c r="G18" i="8"/>
  <c r="J10" i="6"/>
  <c r="I17" i="8"/>
  <c r="I17" i="7"/>
  <c r="C35" i="6"/>
  <c r="C34" i="6" s="1"/>
  <c r="C31" i="6" s="1"/>
  <c r="D38" i="6"/>
  <c r="G15" i="7"/>
  <c r="G16" i="7" s="1"/>
  <c r="G18" i="7"/>
  <c r="F80" i="8"/>
  <c r="H14" i="8" l="1"/>
  <c r="H14" i="7"/>
  <c r="H33" i="8"/>
  <c r="H33" i="7"/>
  <c r="H8" i="8"/>
  <c r="H8" i="7"/>
  <c r="H40" i="6"/>
  <c r="H6" i="7"/>
  <c r="H6" i="8"/>
  <c r="H31" i="8"/>
  <c r="H31" i="7"/>
  <c r="I7" i="6"/>
  <c r="I6" i="6" s="1"/>
  <c r="I12" i="6" s="1"/>
  <c r="I14" i="7" s="1"/>
  <c r="I41" i="6"/>
  <c r="J5" i="6"/>
  <c r="I29" i="6"/>
  <c r="I30" i="6"/>
  <c r="H30" i="7"/>
  <c r="H30" i="8"/>
  <c r="H5" i="8"/>
  <c r="H5" i="7"/>
  <c r="G34" i="7"/>
  <c r="G34" i="8"/>
  <c r="H15" i="6"/>
  <c r="H16" i="6" s="1"/>
  <c r="E38" i="6"/>
  <c r="D35" i="6"/>
  <c r="D34" i="6" s="1"/>
  <c r="D31" i="6" s="1"/>
  <c r="C75" i="8"/>
  <c r="I4" i="8"/>
  <c r="I4" i="7"/>
  <c r="H18" i="8"/>
  <c r="H18" i="7"/>
  <c r="E80" i="8"/>
  <c r="H15" i="7"/>
  <c r="H16" i="7" s="1"/>
  <c r="H15" i="8"/>
  <c r="H16" i="8" s="1"/>
  <c r="E85" i="8"/>
  <c r="C7" i="8"/>
  <c r="C9" i="8" s="1"/>
  <c r="C7" i="7"/>
  <c r="C9" i="7" s="1"/>
  <c r="C28" i="6"/>
  <c r="C22" i="6" s="1"/>
  <c r="J17" i="7"/>
  <c r="J17" i="8"/>
  <c r="G17" i="6"/>
  <c r="G39" i="6"/>
  <c r="J27" i="7"/>
  <c r="J27" i="8"/>
  <c r="J24" i="6"/>
  <c r="J23" i="6" s="1"/>
  <c r="I14" i="8" l="1"/>
  <c r="I14" i="6"/>
  <c r="H34" i="7"/>
  <c r="G54" i="7"/>
  <c r="G36" i="7"/>
  <c r="G44" i="7" s="1"/>
  <c r="G67" i="7"/>
  <c r="H54" i="7"/>
  <c r="H36" i="7"/>
  <c r="H44" i="7" s="1"/>
  <c r="H67" i="7"/>
  <c r="I5" i="8"/>
  <c r="I5" i="7"/>
  <c r="I30" i="7"/>
  <c r="I30" i="8"/>
  <c r="I33" i="8"/>
  <c r="I8" i="8"/>
  <c r="I33" i="7"/>
  <c r="I8" i="7"/>
  <c r="I40" i="6"/>
  <c r="G36" i="8"/>
  <c r="G47" i="8" s="1"/>
  <c r="G93" i="8"/>
  <c r="I6" i="7"/>
  <c r="I31" i="8"/>
  <c r="I6" i="8"/>
  <c r="I31" i="7"/>
  <c r="J7" i="6"/>
  <c r="J6" i="6" s="1"/>
  <c r="J12" i="6" s="1"/>
  <c r="J41" i="6"/>
  <c r="J29" i="6"/>
  <c r="J30" i="6"/>
  <c r="H34" i="8"/>
  <c r="H39" i="6"/>
  <c r="H17" i="6"/>
  <c r="J14" i="6"/>
  <c r="J14" i="8"/>
  <c r="J14" i="7"/>
  <c r="C10" i="7"/>
  <c r="D85" i="8"/>
  <c r="D80" i="8"/>
  <c r="I18" i="7"/>
  <c r="I15" i="8"/>
  <c r="I16" i="8" s="1"/>
  <c r="I15" i="7"/>
  <c r="I16" i="7" s="1"/>
  <c r="F38" i="6"/>
  <c r="E35" i="6"/>
  <c r="E34" i="6" s="1"/>
  <c r="E31" i="6" s="1"/>
  <c r="J4" i="8"/>
  <c r="J4" i="7"/>
  <c r="C10" i="8"/>
  <c r="I18" i="8"/>
  <c r="I15" i="6"/>
  <c r="I16" i="6" s="1"/>
  <c r="D7" i="7"/>
  <c r="D9" i="7" s="1"/>
  <c r="D7" i="8"/>
  <c r="D9" i="8" s="1"/>
  <c r="D28" i="6"/>
  <c r="D22" i="6" s="1"/>
  <c r="J6" i="7" l="1"/>
  <c r="J31" i="7"/>
  <c r="J6" i="8"/>
  <c r="J31" i="8"/>
  <c r="J33" i="7"/>
  <c r="J8" i="7"/>
  <c r="J8" i="8"/>
  <c r="J33" i="8"/>
  <c r="J40" i="6"/>
  <c r="H36" i="8"/>
  <c r="H47" i="8" s="1"/>
  <c r="H93" i="8"/>
  <c r="J5" i="7"/>
  <c r="J30" i="7"/>
  <c r="J30" i="8"/>
  <c r="J5" i="8"/>
  <c r="I34" i="7"/>
  <c r="I34" i="8"/>
  <c r="D19" i="7"/>
  <c r="D20" i="7" s="1"/>
  <c r="D10" i="7"/>
  <c r="D19" i="8"/>
  <c r="D20" i="8" s="1"/>
  <c r="D10" i="8"/>
  <c r="J18" i="7"/>
  <c r="J18" i="8"/>
  <c r="E7" i="7"/>
  <c r="E9" i="7" s="1"/>
  <c r="E7" i="8"/>
  <c r="E9" i="8" s="1"/>
  <c r="E28" i="6"/>
  <c r="E22" i="6" s="1"/>
  <c r="C80" i="8"/>
  <c r="J75" i="7"/>
  <c r="H75" i="7"/>
  <c r="F75" i="7"/>
  <c r="D75" i="7"/>
  <c r="G46" i="7"/>
  <c r="C46" i="7"/>
  <c r="F58" i="7"/>
  <c r="J58" i="7"/>
  <c r="J46" i="7"/>
  <c r="D46" i="7"/>
  <c r="B7" i="7"/>
  <c r="B9" i="7" s="1"/>
  <c r="G58" i="7"/>
  <c r="C58" i="7"/>
  <c r="I75" i="7"/>
  <c r="G75" i="7"/>
  <c r="E75" i="7"/>
  <c r="C75" i="7"/>
  <c r="F46" i="7"/>
  <c r="D58" i="7"/>
  <c r="H58" i="7"/>
  <c r="E46" i="7"/>
  <c r="B7" i="8"/>
  <c r="B9" i="8" s="1"/>
  <c r="I46" i="7"/>
  <c r="E58" i="7"/>
  <c r="I58" i="7"/>
  <c r="H46" i="7"/>
  <c r="C85" i="8"/>
  <c r="J15" i="7"/>
  <c r="J16" i="7" s="1"/>
  <c r="J15" i="6"/>
  <c r="J16" i="6" s="1"/>
  <c r="I39" i="6"/>
  <c r="I17" i="6"/>
  <c r="F35" i="6"/>
  <c r="F34" i="6" s="1"/>
  <c r="F31" i="6" s="1"/>
  <c r="G38" i="6"/>
  <c r="J15" i="8"/>
  <c r="J16" i="8" s="1"/>
  <c r="J34" i="8" l="1"/>
  <c r="J34" i="7"/>
  <c r="J67" i="7" s="1"/>
  <c r="I36" i="8"/>
  <c r="I47" i="8" s="1"/>
  <c r="I93" i="8"/>
  <c r="I67" i="7"/>
  <c r="I54" i="7"/>
  <c r="I36" i="7"/>
  <c r="I44" i="7" s="1"/>
  <c r="J93" i="8"/>
  <c r="J36" i="8"/>
  <c r="J47" i="8" s="1"/>
  <c r="J17" i="6"/>
  <c r="J39" i="6"/>
  <c r="B10" i="7"/>
  <c r="C19" i="7"/>
  <c r="C20" i="7" s="1"/>
  <c r="E19" i="8"/>
  <c r="E20" i="8" s="1"/>
  <c r="E10" i="8"/>
  <c r="F7" i="7"/>
  <c r="F9" i="7" s="1"/>
  <c r="F7" i="8"/>
  <c r="F9" i="8" s="1"/>
  <c r="F28" i="6"/>
  <c r="F22" i="6" s="1"/>
  <c r="G35" i="6"/>
  <c r="G34" i="6" s="1"/>
  <c r="G31" i="6" s="1"/>
  <c r="H38" i="6"/>
  <c r="B10" i="8"/>
  <c r="C19" i="8"/>
  <c r="C20" i="8" s="1"/>
  <c r="E19" i="7"/>
  <c r="E20" i="7" s="1"/>
  <c r="E10" i="7"/>
  <c r="D23" i="8"/>
  <c r="D46" i="8" s="1"/>
  <c r="D92" i="8"/>
  <c r="D52" i="7"/>
  <c r="D23" i="7"/>
  <c r="D42" i="7" s="1"/>
  <c r="D65" i="7"/>
  <c r="J54" i="7" l="1"/>
  <c r="J36" i="7"/>
  <c r="J44" i="7" s="1"/>
  <c r="C23" i="8"/>
  <c r="C46" i="8" s="1"/>
  <c r="C92" i="8"/>
  <c r="H35" i="6"/>
  <c r="H34" i="6" s="1"/>
  <c r="H31" i="6" s="1"/>
  <c r="I38" i="6"/>
  <c r="F19" i="7"/>
  <c r="F20" i="7" s="1"/>
  <c r="F10" i="7"/>
  <c r="E92" i="8"/>
  <c r="E23" i="8"/>
  <c r="E46" i="8" s="1"/>
  <c r="E23" i="7"/>
  <c r="E42" i="7" s="1"/>
  <c r="E52" i="7"/>
  <c r="E65" i="7"/>
  <c r="G7" i="8"/>
  <c r="G9" i="8" s="1"/>
  <c r="G7" i="7"/>
  <c r="G9" i="7" s="1"/>
  <c r="G28" i="6"/>
  <c r="G22" i="6" s="1"/>
  <c r="F19" i="8"/>
  <c r="F20" i="8" s="1"/>
  <c r="F10" i="8"/>
  <c r="C52" i="7"/>
  <c r="C23" i="7"/>
  <c r="C42" i="7" s="1"/>
  <c r="C65" i="7"/>
  <c r="G19" i="7" l="1"/>
  <c r="G20" i="7" s="1"/>
  <c r="G10" i="7"/>
  <c r="F23" i="7"/>
  <c r="F42" i="7" s="1"/>
  <c r="F43" i="7" s="1"/>
  <c r="F45" i="7" s="1"/>
  <c r="F52" i="7"/>
  <c r="F53" i="7" s="1"/>
  <c r="F55" i="7" s="1"/>
  <c r="F57" i="7" s="1"/>
  <c r="F65" i="7"/>
  <c r="H7" i="7"/>
  <c r="H9" i="7" s="1"/>
  <c r="H7" i="8"/>
  <c r="H9" i="8" s="1"/>
  <c r="H28" i="6"/>
  <c r="H22" i="6" s="1"/>
  <c r="C66" i="7"/>
  <c r="C68" i="7" s="1"/>
  <c r="C72" i="7" s="1"/>
  <c r="C74" i="7" s="1"/>
  <c r="C76" i="7" s="1"/>
  <c r="D66" i="7"/>
  <c r="D68" i="7" s="1"/>
  <c r="D72" i="7" s="1"/>
  <c r="D74" i="7" s="1"/>
  <c r="D76" i="7" s="1"/>
  <c r="F66" i="7"/>
  <c r="F68" i="7" s="1"/>
  <c r="F72" i="7" s="1"/>
  <c r="F74" i="7" s="1"/>
  <c r="F76" i="7" s="1"/>
  <c r="E66" i="7"/>
  <c r="E68" i="7" s="1"/>
  <c r="E72" i="7" s="1"/>
  <c r="E74" i="7" s="1"/>
  <c r="E76" i="7" s="1"/>
  <c r="C53" i="7"/>
  <c r="C55" i="7" s="1"/>
  <c r="C57" i="7" s="1"/>
  <c r="D53" i="7"/>
  <c r="D55" i="7" s="1"/>
  <c r="D57" i="7" s="1"/>
  <c r="E53" i="7"/>
  <c r="E55" i="7" s="1"/>
  <c r="E57" i="7" s="1"/>
  <c r="F23" i="8"/>
  <c r="F46" i="8" s="1"/>
  <c r="F92" i="8"/>
  <c r="E43" i="7"/>
  <c r="E45" i="7" s="1"/>
  <c r="C43" i="7"/>
  <c r="C45" i="7" s="1"/>
  <c r="D43" i="7"/>
  <c r="D45" i="7" s="1"/>
  <c r="G19" i="8"/>
  <c r="G20" i="8" s="1"/>
  <c r="G10" i="8"/>
  <c r="I35" i="6"/>
  <c r="I34" i="6" s="1"/>
  <c r="I31" i="6" s="1"/>
  <c r="J38" i="6"/>
  <c r="J35" i="6" s="1"/>
  <c r="J34" i="6" s="1"/>
  <c r="J31" i="6" s="1"/>
  <c r="I7" i="8" l="1"/>
  <c r="I9" i="8" s="1"/>
  <c r="I7" i="7"/>
  <c r="I9" i="7" s="1"/>
  <c r="I28" i="6"/>
  <c r="I22" i="6" s="1"/>
  <c r="G23" i="8"/>
  <c r="G46" i="8" s="1"/>
  <c r="G92" i="8"/>
  <c r="D47" i="7"/>
  <c r="E47" i="7"/>
  <c r="E59" i="7"/>
  <c r="C59" i="7"/>
  <c r="H19" i="8"/>
  <c r="H20" i="8" s="1"/>
  <c r="H10" i="8"/>
  <c r="G65" i="7"/>
  <c r="G23" i="7"/>
  <c r="G42" i="7" s="1"/>
  <c r="G52" i="7"/>
  <c r="J7" i="8"/>
  <c r="J9" i="8" s="1"/>
  <c r="J28" i="6"/>
  <c r="J22" i="6" s="1"/>
  <c r="J7" i="7"/>
  <c r="J9" i="7" s="1"/>
  <c r="C47" i="7"/>
  <c r="F47" i="7"/>
  <c r="D59" i="7"/>
  <c r="F59" i="7"/>
  <c r="H19" i="7"/>
  <c r="H20" i="7" s="1"/>
  <c r="H10" i="7"/>
  <c r="J19" i="7" l="1"/>
  <c r="J20" i="7" s="1"/>
  <c r="J10" i="7"/>
  <c r="J19" i="8"/>
  <c r="J20" i="8" s="1"/>
  <c r="J10" i="8"/>
  <c r="G43" i="7"/>
  <c r="G45" i="7" s="1"/>
  <c r="I19" i="8"/>
  <c r="I20" i="8" s="1"/>
  <c r="I10" i="8"/>
  <c r="H23" i="7"/>
  <c r="H42" i="7" s="1"/>
  <c r="H52" i="7"/>
  <c r="H53" i="7" s="1"/>
  <c r="H55" i="7" s="1"/>
  <c r="H57" i="7" s="1"/>
  <c r="H65" i="7"/>
  <c r="H66" i="7" s="1"/>
  <c r="H68" i="7" s="1"/>
  <c r="H72" i="7" s="1"/>
  <c r="H74" i="7" s="1"/>
  <c r="H76" i="7" s="1"/>
  <c r="G53" i="7"/>
  <c r="G55" i="7" s="1"/>
  <c r="G57" i="7" s="1"/>
  <c r="G66" i="7"/>
  <c r="G68" i="7" s="1"/>
  <c r="G72" i="7" s="1"/>
  <c r="G74" i="7" s="1"/>
  <c r="G76" i="7" s="1"/>
  <c r="H23" i="8"/>
  <c r="H46" i="8" s="1"/>
  <c r="H92" i="8"/>
  <c r="I19" i="7"/>
  <c r="I20" i="7" s="1"/>
  <c r="I10" i="7"/>
  <c r="I65" i="7" l="1"/>
  <c r="I23" i="7"/>
  <c r="I42" i="7" s="1"/>
  <c r="I43" i="7" s="1"/>
  <c r="I45" i="7" s="1"/>
  <c r="I52" i="7"/>
  <c r="G59" i="7"/>
  <c r="H59" i="7"/>
  <c r="I23" i="8"/>
  <c r="I46" i="8" s="1"/>
  <c r="I92" i="8"/>
  <c r="G47" i="7"/>
  <c r="J23" i="8"/>
  <c r="J46" i="8" s="1"/>
  <c r="J92" i="8"/>
  <c r="J65" i="7"/>
  <c r="J23" i="7"/>
  <c r="J42" i="7" s="1"/>
  <c r="J52" i="7"/>
  <c r="H43" i="7"/>
  <c r="H45" i="7" s="1"/>
  <c r="J43" i="7" l="1"/>
  <c r="J45" i="7" s="1"/>
  <c r="J47" i="7" s="1"/>
  <c r="I47" i="7"/>
  <c r="H47" i="7"/>
  <c r="I53" i="7"/>
  <c r="I55" i="7" s="1"/>
  <c r="I57" i="7" s="1"/>
  <c r="J53" i="7"/>
  <c r="J55" i="7" s="1"/>
  <c r="J57" i="7" s="1"/>
  <c r="I66" i="7"/>
  <c r="I68" i="7" s="1"/>
  <c r="I72" i="7" s="1"/>
  <c r="I74" i="7" s="1"/>
  <c r="I76" i="7" s="1"/>
  <c r="J66" i="7"/>
  <c r="J68" i="7" s="1"/>
  <c r="J72" i="7" s="1"/>
  <c r="J74" i="7" s="1"/>
  <c r="J76" i="7" s="1"/>
  <c r="I59" i="7" l="1"/>
  <c r="J59" i="7"/>
  <c r="C51" i="8" l="1"/>
  <c r="C52" i="8"/>
  <c r="C56" i="8"/>
  <c r="D56" i="8"/>
  <c r="C57" i="8"/>
  <c r="D57" i="8"/>
  <c r="C61" i="8"/>
  <c r="D61" i="8"/>
  <c r="E61" i="8"/>
  <c r="C62" i="8"/>
  <c r="D62" i="8"/>
  <c r="E62" i="8"/>
  <c r="C66" i="8"/>
  <c r="D66" i="8"/>
  <c r="E66" i="8"/>
  <c r="F66" i="8"/>
  <c r="C67" i="8"/>
  <c r="D67" i="8"/>
  <c r="E67" i="8"/>
  <c r="F67" i="8"/>
  <c r="C71" i="8"/>
  <c r="D71" i="8"/>
  <c r="E71" i="8"/>
  <c r="F71" i="8"/>
  <c r="G71" i="8"/>
  <c r="C72" i="8"/>
  <c r="D72" i="8"/>
  <c r="E72" i="8"/>
  <c r="F72" i="8"/>
  <c r="G72" i="8"/>
  <c r="C76" i="8"/>
  <c r="D76" i="8"/>
  <c r="E76" i="8"/>
  <c r="F76" i="8"/>
  <c r="G76" i="8"/>
  <c r="H76" i="8"/>
  <c r="C77" i="8"/>
  <c r="D77" i="8"/>
  <c r="E77" i="8"/>
  <c r="F77" i="8"/>
  <c r="G77" i="8"/>
  <c r="H77" i="8"/>
  <c r="C81" i="8"/>
  <c r="D81" i="8"/>
  <c r="E81" i="8"/>
  <c r="F81" i="8"/>
  <c r="G81" i="8"/>
  <c r="H81" i="8"/>
  <c r="I81" i="8"/>
  <c r="C82" i="8"/>
  <c r="D82" i="8"/>
  <c r="E82" i="8"/>
  <c r="F82" i="8"/>
  <c r="G82" i="8"/>
  <c r="H82" i="8"/>
  <c r="I82" i="8"/>
  <c r="C86" i="8"/>
  <c r="D86" i="8"/>
  <c r="E86" i="8"/>
  <c r="F86" i="8"/>
  <c r="G86" i="8"/>
  <c r="H86" i="8"/>
  <c r="I86" i="8"/>
  <c r="J86" i="8"/>
  <c r="C87" i="8"/>
  <c r="D87" i="8"/>
  <c r="E87" i="8"/>
  <c r="F87" i="8"/>
  <c r="G87" i="8"/>
  <c r="H87" i="8"/>
  <c r="I87" i="8"/>
  <c r="J87" i="8"/>
  <c r="C95" i="8"/>
  <c r="C96" i="8"/>
  <c r="C97" i="8"/>
  <c r="C99" i="8"/>
  <c r="C100" i="8"/>
  <c r="C102" i="8"/>
  <c r="D102" i="8"/>
  <c r="C103" i="8"/>
  <c r="D103" i="8"/>
  <c r="C104" i="8"/>
  <c r="D104" i="8"/>
  <c r="C106" i="8"/>
  <c r="D106" i="8"/>
  <c r="C107" i="8"/>
  <c r="D107" i="8"/>
  <c r="C109" i="8"/>
  <c r="D109" i="8"/>
  <c r="E109" i="8"/>
  <c r="C110" i="8"/>
  <c r="D110" i="8"/>
  <c r="E110" i="8"/>
  <c r="C111" i="8"/>
  <c r="D111" i="8"/>
  <c r="E111" i="8"/>
  <c r="C113" i="8"/>
  <c r="D113" i="8"/>
  <c r="E113" i="8"/>
  <c r="C114" i="8"/>
  <c r="D114" i="8"/>
  <c r="E114" i="8"/>
  <c r="C116" i="8"/>
  <c r="D116" i="8"/>
  <c r="E116" i="8"/>
  <c r="F116" i="8"/>
  <c r="C117" i="8"/>
  <c r="D117" i="8"/>
  <c r="E117" i="8"/>
  <c r="F117" i="8"/>
  <c r="C118" i="8"/>
  <c r="D118" i="8"/>
  <c r="E118" i="8"/>
  <c r="F118" i="8"/>
  <c r="C120" i="8"/>
  <c r="D120" i="8"/>
  <c r="E120" i="8"/>
  <c r="F120" i="8"/>
  <c r="C121" i="8"/>
  <c r="D121" i="8"/>
  <c r="E121" i="8"/>
  <c r="F121" i="8"/>
  <c r="C123" i="8"/>
  <c r="D123" i="8"/>
  <c r="E123" i="8"/>
  <c r="F123" i="8"/>
  <c r="G123" i="8"/>
  <c r="C124" i="8"/>
  <c r="D124" i="8"/>
  <c r="E124" i="8"/>
  <c r="F124" i="8"/>
  <c r="G124" i="8"/>
  <c r="C125" i="8"/>
  <c r="D125" i="8"/>
  <c r="E125" i="8"/>
  <c r="F125" i="8"/>
  <c r="G125" i="8"/>
  <c r="C127" i="8"/>
  <c r="D127" i="8"/>
  <c r="E127" i="8"/>
  <c r="F127" i="8"/>
  <c r="G127" i="8"/>
  <c r="C128" i="8"/>
  <c r="D128" i="8"/>
  <c r="E128" i="8"/>
  <c r="F128" i="8"/>
  <c r="G128" i="8"/>
  <c r="C130" i="8"/>
  <c r="D130" i="8"/>
  <c r="E130" i="8"/>
  <c r="F130" i="8"/>
  <c r="G130" i="8"/>
  <c r="H130" i="8"/>
  <c r="C131" i="8"/>
  <c r="D131" i="8"/>
  <c r="E131" i="8"/>
  <c r="F131" i="8"/>
  <c r="G131" i="8"/>
  <c r="H131" i="8"/>
  <c r="C132" i="8"/>
  <c r="D132" i="8"/>
  <c r="E132" i="8"/>
  <c r="F132" i="8"/>
  <c r="G132" i="8"/>
  <c r="H132" i="8"/>
  <c r="C134" i="8"/>
  <c r="D134" i="8"/>
  <c r="E134" i="8"/>
  <c r="F134" i="8"/>
  <c r="G134" i="8"/>
  <c r="H134" i="8"/>
  <c r="C135" i="8"/>
  <c r="D135" i="8"/>
  <c r="E135" i="8"/>
  <c r="F135" i="8"/>
  <c r="G135" i="8"/>
  <c r="H135" i="8"/>
  <c r="C137" i="8"/>
  <c r="D137" i="8"/>
  <c r="E137" i="8"/>
  <c r="F137" i="8"/>
  <c r="G137" i="8"/>
  <c r="H137" i="8"/>
  <c r="I137" i="8"/>
  <c r="C138" i="8"/>
  <c r="D138" i="8"/>
  <c r="E138" i="8"/>
  <c r="F138" i="8"/>
  <c r="G138" i="8"/>
  <c r="H138" i="8"/>
  <c r="I138" i="8"/>
  <c r="C139" i="8"/>
  <c r="D139" i="8"/>
  <c r="E139" i="8"/>
  <c r="F139" i="8"/>
  <c r="G139" i="8"/>
  <c r="H139" i="8"/>
  <c r="I139" i="8"/>
  <c r="C141" i="8"/>
  <c r="D141" i="8"/>
  <c r="E141" i="8"/>
  <c r="F141" i="8"/>
  <c r="G141" i="8"/>
  <c r="H141" i="8"/>
  <c r="I141" i="8"/>
  <c r="C142" i="8"/>
  <c r="D142" i="8"/>
  <c r="E142" i="8"/>
  <c r="F142" i="8"/>
  <c r="G142" i="8"/>
  <c r="H142" i="8"/>
  <c r="I142" i="8"/>
  <c r="C144" i="8"/>
  <c r="D144" i="8"/>
  <c r="E144" i="8"/>
  <c r="F144" i="8"/>
  <c r="G144" i="8"/>
  <c r="H144" i="8"/>
  <c r="I144" i="8"/>
  <c r="J144" i="8"/>
  <c r="C145" i="8"/>
  <c r="D145" i="8"/>
  <c r="E145" i="8"/>
  <c r="F145" i="8"/>
  <c r="G145" i="8"/>
  <c r="H145" i="8"/>
  <c r="I145" i="8"/>
  <c r="J145" i="8"/>
  <c r="C146" i="8"/>
  <c r="D146" i="8"/>
  <c r="E146" i="8"/>
  <c r="F146" i="8"/>
  <c r="G146" i="8"/>
  <c r="H146" i="8"/>
  <c r="I146" i="8"/>
  <c r="J146" i="8"/>
  <c r="C148" i="8"/>
  <c r="D148" i="8"/>
  <c r="E148" i="8"/>
  <c r="F148" i="8"/>
  <c r="G148" i="8"/>
  <c r="H148" i="8"/>
  <c r="I148" i="8"/>
  <c r="J148" i="8"/>
  <c r="C149" i="8"/>
  <c r="D149" i="8"/>
  <c r="E149" i="8"/>
  <c r="F149" i="8"/>
  <c r="G149" i="8"/>
  <c r="H149" i="8"/>
  <c r="I149" i="8"/>
  <c r="J149" i="8"/>
</calcChain>
</file>

<file path=xl/sharedStrings.xml><?xml version="1.0" encoding="utf-8"?>
<sst xmlns="http://schemas.openxmlformats.org/spreadsheetml/2006/main" count="319" uniqueCount="161">
  <si>
    <t>Tržby</t>
  </si>
  <si>
    <t>Spotřeba materiálu</t>
  </si>
  <si>
    <t>Ostatní vnější dodávky</t>
  </si>
  <si>
    <t>Osobní náklady</t>
  </si>
  <si>
    <t>Odpisy</t>
  </si>
  <si>
    <t>Opravy a údržba</t>
  </si>
  <si>
    <t>Provozní VH</t>
  </si>
  <si>
    <t>VH před daní</t>
  </si>
  <si>
    <t>VH za účetní období</t>
  </si>
  <si>
    <t>AKTIVA</t>
  </si>
  <si>
    <t>AKTIVA CELKEM</t>
  </si>
  <si>
    <t xml:space="preserve">       Pozemky</t>
  </si>
  <si>
    <t xml:space="preserve">       Stavby</t>
  </si>
  <si>
    <t>C. OBĚŽNÁ AKTIVA</t>
  </si>
  <si>
    <t>C.I   Zásoby</t>
  </si>
  <si>
    <t>PASIVA</t>
  </si>
  <si>
    <t>PASIVA CELKEM</t>
  </si>
  <si>
    <t>A. VLASTNÍ KAPITÁL</t>
  </si>
  <si>
    <t xml:space="preserve">     Základní kapitál</t>
  </si>
  <si>
    <t xml:space="preserve">     Rezervní fond</t>
  </si>
  <si>
    <t xml:space="preserve">     VH běžného roku</t>
  </si>
  <si>
    <t>B. CIZÍ ZDROJE</t>
  </si>
  <si>
    <t>B.III Krátkodobé závazky</t>
  </si>
  <si>
    <t>Předpoklady pro další období</t>
  </si>
  <si>
    <t>Proto je nutno počítat s omezenou životností společnosti - maximálně asi do 8 let.</t>
  </si>
  <si>
    <t>w</t>
  </si>
  <si>
    <r>
      <t>Položky pracovního kapitálu</t>
    </r>
    <r>
      <rPr>
        <sz val="12"/>
        <rFont val="Times New Roman CE"/>
        <charset val="238"/>
      </rPr>
      <t xml:space="preserve"> budou tvořit následující podíly z tržeb:</t>
    </r>
  </si>
  <si>
    <t>pohledávky</t>
  </si>
  <si>
    <r>
      <t xml:space="preserve">Předpoklady týkající se </t>
    </r>
    <r>
      <rPr>
        <b/>
        <sz val="12"/>
        <rFont val="Times New Roman CE"/>
        <charset val="238"/>
      </rPr>
      <t>zbývajících</t>
    </r>
    <r>
      <rPr>
        <sz val="12"/>
        <rFont val="Times New Roman CE"/>
        <charset val="238"/>
      </rPr>
      <t xml:space="preserve"> </t>
    </r>
    <r>
      <rPr>
        <b/>
        <sz val="12"/>
        <rFont val="Times New Roman CE"/>
        <charset val="238"/>
      </rPr>
      <t>aktiv a pasiv</t>
    </r>
    <r>
      <rPr>
        <sz val="12"/>
        <rFont val="Times New Roman CE"/>
        <charset val="238"/>
      </rPr>
      <t>:</t>
    </r>
  </si>
  <si>
    <t>žádný dlouhodobý majetek nebude obnovován</t>
  </si>
  <si>
    <r>
      <t>Likvidační hodnota</t>
    </r>
    <r>
      <rPr>
        <sz val="12"/>
        <rFont val="Times New Roman CE"/>
        <charset val="238"/>
      </rPr>
      <t xml:space="preserve"> majetkových položek (procenta z účetní hodnoty):</t>
    </r>
  </si>
  <si>
    <t>pozemky</t>
  </si>
  <si>
    <t>stavby</t>
  </si>
  <si>
    <t>zařízení (samostatné movité věci)</t>
  </si>
  <si>
    <r>
      <t>Daňová sazba</t>
    </r>
    <r>
      <rPr>
        <sz val="12"/>
        <rFont val="Times New Roman CE"/>
        <charset val="238"/>
      </rPr>
      <t xml:space="preserve"> pro budoucí období</t>
    </r>
  </si>
  <si>
    <t>Výsledovka</t>
  </si>
  <si>
    <t>Náklady celkem</t>
  </si>
  <si>
    <t>Daň</t>
  </si>
  <si>
    <r>
      <t xml:space="preserve">Podíly na zisku </t>
    </r>
    <r>
      <rPr>
        <sz val="11"/>
        <rFont val="Times New Roman CE"/>
        <family val="1"/>
        <charset val="238"/>
      </rPr>
      <t>(návrh; výplata až v dalším roce)</t>
    </r>
  </si>
  <si>
    <t>Rozvaha - údaje k 31. 12.</t>
  </si>
  <si>
    <t>B. DLOUH. MAJETEK</t>
  </si>
  <si>
    <t>B.II Dlouh. hmotný maj.</t>
  </si>
  <si>
    <t xml:space="preserve">       Samostatné mov. věci</t>
  </si>
  <si>
    <t>C.III Krát. pohledávky</t>
  </si>
  <si>
    <t>C.IV Krát. finan. majetek</t>
  </si>
  <si>
    <t xml:space="preserve">     Nerozděl. VH min. let</t>
  </si>
  <si>
    <t>Propočet volného cash flow</t>
  </si>
  <si>
    <t>FCFE</t>
  </si>
  <si>
    <t>Likvidační hodnota podniku k 31. 12.</t>
  </si>
  <si>
    <t>zařízení</t>
  </si>
  <si>
    <t>splacení krátkod. závazků</t>
  </si>
  <si>
    <t>splacení bank. úvěrů</t>
  </si>
  <si>
    <t>Odúročitel pro i =</t>
  </si>
  <si>
    <t>Krátkodobý finanční majetek</t>
  </si>
  <si>
    <t>vytvořené FCFF se bude vyplácet průběžně ve formě dividend</t>
  </si>
  <si>
    <t>provozně nutná výše peněz:</t>
  </si>
  <si>
    <t>tis. Kč</t>
  </si>
  <si>
    <t>provozně nutné peníze je třeba držet až do doby likvidace. Nadbytečné</t>
  </si>
  <si>
    <t>peníze k datu ocenění by bylo teoreticky možné odčerpat hned.</t>
  </si>
  <si>
    <t>zásoby</t>
  </si>
  <si>
    <t xml:space="preserve">krátkodobé závazky </t>
  </si>
  <si>
    <r>
      <t xml:space="preserve">Pro </t>
    </r>
    <r>
      <rPr>
        <b/>
        <sz val="12"/>
        <rFont val="Times New Roman CE"/>
        <charset val="238"/>
      </rPr>
      <t xml:space="preserve">nákladové položky </t>
    </r>
    <r>
      <rPr>
        <sz val="12"/>
        <rFont val="Times New Roman CE"/>
        <charset val="238"/>
      </rPr>
      <t>předpokládáme asi tento vývoj:</t>
    </r>
  </si>
  <si>
    <t>spotřeba materiálu bude plánována procentem z tržeb, a to ve výši:</t>
  </si>
  <si>
    <t>ostatní vnější dodávky (hlavně energie) porostou ročním tempem</t>
  </si>
  <si>
    <t>opravy a údržba ročně porostou tempem:</t>
  </si>
  <si>
    <t>Provozně nutný investovaný kapitál</t>
  </si>
  <si>
    <t>Dlouhodobý majetek</t>
  </si>
  <si>
    <t xml:space="preserve">    Zásoby</t>
  </si>
  <si>
    <t xml:space="preserve">    Pohledávky</t>
  </si>
  <si>
    <t xml:space="preserve">    Provozně nutné peníze</t>
  </si>
  <si>
    <t xml:space="preserve">    Neúročené závazky</t>
  </si>
  <si>
    <t>Pracovní kapitál</t>
  </si>
  <si>
    <t>Investovaný kapitál</t>
  </si>
  <si>
    <t>Korigovaný provozní VH po dani</t>
  </si>
  <si>
    <t>Korigovaný provozní HV</t>
  </si>
  <si>
    <t>Investice brutto do dlouh. majetku</t>
  </si>
  <si>
    <t>Změna pracovního kapitálu</t>
  </si>
  <si>
    <t>FCFF</t>
  </si>
  <si>
    <t>Placené úroky . (1 - daň)</t>
  </si>
  <si>
    <t>Změna úvěrů</t>
  </si>
  <si>
    <t>B.IV.2 Bankovní úvěry</t>
  </si>
  <si>
    <t>peníze provozně nutné</t>
  </si>
  <si>
    <t>Diskontované roční FCFE</t>
  </si>
  <si>
    <t xml:space="preserve">Provozně nenutné peníze </t>
  </si>
  <si>
    <t>Diskontované roční FCFF</t>
  </si>
  <si>
    <t>Hodnota netto provozní</t>
  </si>
  <si>
    <t>Hodnota brutto provozní</t>
  </si>
  <si>
    <t>Úročený cizí kapitál k datu oc.</t>
  </si>
  <si>
    <t>Náklady cizího kapitálu</t>
  </si>
  <si>
    <t>WACC</t>
  </si>
  <si>
    <t>b) Varianta entity</t>
  </si>
  <si>
    <t>a) Varianta equity</t>
  </si>
  <si>
    <t>FCFF roční</t>
  </si>
  <si>
    <t>Likvidační hodnota ke konci roku</t>
  </si>
  <si>
    <t xml:space="preserve"> Likvidace v roce</t>
  </si>
  <si>
    <t xml:space="preserve">    CK k začátku roku</t>
  </si>
  <si>
    <t xml:space="preserve">    CK/VK v tržních hodnotách</t>
  </si>
  <si>
    <t xml:space="preserve">    Náklady VK zadlužené</t>
  </si>
  <si>
    <t xml:space="preserve">    WACC</t>
  </si>
  <si>
    <t xml:space="preserve">    Hodnota brutto k začátku roku</t>
  </si>
  <si>
    <t>Likvidační hodnota entity</t>
  </si>
  <si>
    <t>Likvidační hodnota equity</t>
  </si>
  <si>
    <t>Diskontovaná likv. hodnota equity</t>
  </si>
  <si>
    <t>Diskontovaná likv. hodnota entity</t>
  </si>
  <si>
    <t>Produkty podniku jsou vyráběny překonanou technologií, kterou lze udržet v chodu</t>
  </si>
  <si>
    <t>nejdéle 8 let. Obdobná zařízení se již nevyrábějí. Nové technologie by stály asi</t>
  </si>
  <si>
    <t>50 mil. Kč a vyžadovaly by přestavbu budov a zajištění odbytu pro 7 x větší množství</t>
  </si>
  <si>
    <t>produkce, což je mimo možnosti společnosti.</t>
  </si>
  <si>
    <r>
      <t>Tržby</t>
    </r>
    <r>
      <rPr>
        <sz val="12"/>
        <rFont val="Times New Roman CE"/>
        <charset val="238"/>
      </rPr>
      <t xml:space="preserve"> zůstatnou na současné úrovni, tj. růst bude:</t>
    </r>
  </si>
  <si>
    <t xml:space="preserve">je dopočítáván podle plánu peněžních toků </t>
  </si>
  <si>
    <r>
      <t>Výplatní podíl</t>
    </r>
    <r>
      <rPr>
        <sz val="12"/>
        <rFont val="Times New Roman CE"/>
        <charset val="238"/>
      </rPr>
      <t xml:space="preserve"> ze zisku pro výplaty vlastníkům </t>
    </r>
  </si>
  <si>
    <t>odpisy staveb i odpisy zařízení jsou jako dosud obojí po</t>
  </si>
  <si>
    <t>bude udržována stabilní výše bankovních úvěrů, splácení se předpokládá až od 6. roku.</t>
  </si>
  <si>
    <t>c) Varianta APV</t>
  </si>
  <si>
    <t>Roční úrokový daňový štít</t>
  </si>
  <si>
    <t>Diskontovaný roční daňový štít</t>
  </si>
  <si>
    <t>Disk. roční daň. štít kumulovaný</t>
  </si>
  <si>
    <t>Současná hodnota diskontovaných úrokových daňových štítů k datu ocenění</t>
  </si>
  <si>
    <t>SH kumulovaných štítů k datu oc.</t>
  </si>
  <si>
    <t>FCFE roční</t>
  </si>
  <si>
    <t xml:space="preserve">    SH daňových štítů k zač.roku</t>
  </si>
  <si>
    <t>Daňový štít roční</t>
  </si>
  <si>
    <t xml:space="preserve">    CK/K v tržních hodnotách</t>
  </si>
  <si>
    <t>Náklady vlastního kapitálu zadlužené (výchozí odhad)</t>
  </si>
  <si>
    <t>VK/K (cílová struktura)</t>
  </si>
  <si>
    <t>odpisy zůstatnou konstantní - tempo růstu:</t>
  </si>
  <si>
    <t>osobní náklady porostou ročně (nominálně - oblast s nezaměstnaností)</t>
  </si>
  <si>
    <t>Hodnota brutto nezadlužená</t>
  </si>
  <si>
    <t>Mařík Miloš a kol.:</t>
  </si>
  <si>
    <t>METODY OCEŇOVÁNÍ PODNIKU PRO POKROČILÉ</t>
  </si>
  <si>
    <t>Příklad</t>
  </si>
  <si>
    <t>© Miloš Mařík, Pavla Maříková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</si>
  <si>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</si>
  <si>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</si>
  <si>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</si>
  <si>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</si>
  <si>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OCENĚNÍ PODNIKU AMORTIZAČNÍ HODNOTOU</t>
  </si>
  <si>
    <t>VE VARIANTĚ EQUITY, ENTITY A APV</t>
  </si>
  <si>
    <t>Rok, k jehož počátku má být podnik oceněn:</t>
  </si>
  <si>
    <t>Diskontní míra:</t>
  </si>
  <si>
    <t>Finanční plán (tis. Kč)</t>
  </si>
  <si>
    <t>Ocenění při stabilní diskontní míře (tis. Kč)</t>
  </si>
  <si>
    <t>Ocenění s vyladěnou kapitálovou strukturou (tis. Kč)</t>
  </si>
  <si>
    <t>Nezadlužené náklady VK</t>
  </si>
  <si>
    <t>Disktontované FCFE kumulované</t>
  </si>
  <si>
    <t>Diskontované FCFF kumulované</t>
  </si>
  <si>
    <r>
      <t>Odúročitel pro n</t>
    </r>
    <r>
      <rPr>
        <vertAlign val="subscript"/>
        <sz val="12"/>
        <rFont val="Times New Roman CE"/>
        <charset val="238"/>
      </rPr>
      <t>VKn</t>
    </r>
    <r>
      <rPr>
        <sz val="12"/>
        <rFont val="Times New Roman CE"/>
        <charset val="238"/>
      </rPr>
      <t xml:space="preserve"> =</t>
    </r>
  </si>
  <si>
    <r>
      <t>Odúročitel pro 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=</t>
    </r>
  </si>
  <si>
    <t>Excel verze 2003:</t>
  </si>
  <si>
    <t>Nástroje - Možnosti - karta Výpočty - zatrhnout políčko Iterace</t>
  </si>
  <si>
    <t>Excel verze 2007 a vyšší:</t>
  </si>
  <si>
    <t xml:space="preserve">Kulaté tlačítko Office v levém horním rohu (nebo první záložka Soubor </t>
  </si>
  <si>
    <t>u novějších verzí) - Možnosti aplikace Excel - Vzorce - zatrhnout políčko</t>
  </si>
  <si>
    <t>Povolit iterativní přepočet</t>
  </si>
  <si>
    <t>Když nejsou iterace povoleny, objeví se chybová hláška "kruhový odkaz".</t>
  </si>
  <si>
    <t>List "Iterace" obsahuje automatické iterace. Pro jejich správné fungování</t>
  </si>
  <si>
    <t>je nutné v Excelu povolit iterace:</t>
  </si>
  <si>
    <t>Ekopress 2023, Praha, třetí vydání</t>
  </si>
  <si>
    <t>ISBN 978-80-87865-89-7</t>
  </si>
  <si>
    <t>Strana publikace: 393</t>
  </si>
  <si>
    <t xml:space="preserve">    Hodnota netto provozní k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</si>
</sst>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"/>
    <numFmt numFmtId="167" formatCode="0.000"/>
  </numFmts>
  <fonts count="38" x14ac:knownFonts="1"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color indexed="17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b/>
      <sz val="12"/>
      <color indexed="51"/>
      <name val="Times New Roman CE"/>
      <family val="1"/>
      <charset val="238"/>
    </font>
    <font>
      <b/>
      <u/>
      <sz val="12"/>
      <color indexed="18"/>
      <name val="Times New Roman CE"/>
      <family val="1"/>
      <charset val="238"/>
    </font>
    <font>
      <b/>
      <sz val="11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1"/>
      <color indexed="1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b/>
      <sz val="16"/>
      <name val="Arial CE"/>
      <family val="2"/>
      <charset val="238"/>
    </font>
    <font>
      <sz val="14"/>
      <name val="Wingdings"/>
      <charset val="2"/>
    </font>
    <font>
      <b/>
      <sz val="13"/>
      <color indexed="16"/>
      <name val="Times New Roman CE"/>
      <family val="1"/>
      <charset val="238"/>
    </font>
    <font>
      <b/>
      <sz val="12"/>
      <color indexed="16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color indexed="17"/>
      <name val="Times New Roman CE"/>
      <family val="1"/>
      <charset val="238"/>
    </font>
    <font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color indexed="17"/>
      <name val="Times New Roman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rgb="FFFF0000"/>
      <name val="Times New Roman CE"/>
      <charset val="238"/>
    </font>
    <font>
      <b/>
      <sz val="12"/>
      <color rgb="FFFF0000"/>
      <name val="Times New Roman CE"/>
      <family val="1"/>
      <charset val="238"/>
    </font>
    <font>
      <vertAlign val="subscript"/>
      <sz val="12"/>
      <name val="Times New Roman CE"/>
      <charset val="238"/>
    </font>
    <font>
      <b/>
      <sz val="11"/>
      <color indexed="10"/>
      <name val="Arial CE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6" fillId="0" borderId="0"/>
    <xf numFmtId="0" fontId="27" fillId="0" borderId="0"/>
  </cellStyleXfs>
  <cellXfs count="313">
    <xf numFmtId="0" fontId="0" fillId="0" borderId="0" xfId="0"/>
    <xf numFmtId="0" fontId="4" fillId="0" borderId="0" xfId="0" applyFont="1"/>
    <xf numFmtId="0" fontId="9" fillId="0" borderId="4" xfId="0" applyFont="1" applyBorder="1"/>
    <xf numFmtId="0" fontId="11" fillId="0" borderId="4" xfId="0" applyFont="1" applyBorder="1"/>
    <xf numFmtId="0" fontId="11" fillId="0" borderId="5" xfId="0" applyFont="1" applyBorder="1"/>
    <xf numFmtId="0" fontId="13" fillId="0" borderId="1" xfId="0" applyFont="1" applyBorder="1"/>
    <xf numFmtId="0" fontId="9" fillId="0" borderId="5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14" fillId="0" borderId="0" xfId="0" applyFont="1"/>
    <xf numFmtId="0" fontId="0" fillId="0" borderId="8" xfId="0" applyBorder="1"/>
    <xf numFmtId="0" fontId="1" fillId="0" borderId="11" xfId="0" applyFont="1" applyBorder="1"/>
    <xf numFmtId="0" fontId="1" fillId="0" borderId="5" xfId="0" applyFont="1" applyBorder="1"/>
    <xf numFmtId="0" fontId="13" fillId="0" borderId="18" xfId="0" applyFont="1" applyBorder="1"/>
    <xf numFmtId="0" fontId="13" fillId="0" borderId="11" xfId="0" applyFont="1" applyBorder="1"/>
    <xf numFmtId="0" fontId="13" fillId="0" borderId="21" xfId="0" applyFont="1" applyBorder="1"/>
    <xf numFmtId="0" fontId="7" fillId="0" borderId="5" xfId="0" applyFont="1" applyBorder="1"/>
    <xf numFmtId="0" fontId="7" fillId="0" borderId="11" xfId="0" applyFont="1" applyBorder="1"/>
    <xf numFmtId="0" fontId="15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28" xfId="0" applyBorder="1" applyAlignment="1">
      <alignment vertical="center"/>
    </xf>
    <xf numFmtId="0" fontId="16" fillId="0" borderId="29" xfId="0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9" fontId="0" fillId="0" borderId="29" xfId="0" applyNumberForma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0" fontId="17" fillId="0" borderId="0" xfId="0" applyFont="1"/>
    <xf numFmtId="3" fontId="1" fillId="0" borderId="12" xfId="0" applyNumberFormat="1" applyFont="1" applyBorder="1"/>
    <xf numFmtId="3" fontId="0" fillId="0" borderId="10" xfId="0" applyNumberFormat="1" applyBorder="1"/>
    <xf numFmtId="3" fontId="0" fillId="0" borderId="14" xfId="0" applyNumberFormat="1" applyBorder="1"/>
    <xf numFmtId="3" fontId="1" fillId="0" borderId="16" xfId="0" applyNumberFormat="1" applyFont="1" applyBorder="1"/>
    <xf numFmtId="3" fontId="13" fillId="0" borderId="12" xfId="0" applyNumberFormat="1" applyFont="1" applyBorder="1"/>
    <xf numFmtId="3" fontId="13" fillId="0" borderId="22" xfId="0" applyNumberFormat="1" applyFont="1" applyBorder="1"/>
    <xf numFmtId="3" fontId="13" fillId="0" borderId="19" xfId="0" applyNumberFormat="1" applyFont="1" applyBorder="1"/>
    <xf numFmtId="3" fontId="8" fillId="0" borderId="16" xfId="0" applyNumberFormat="1" applyFont="1" applyBorder="1"/>
    <xf numFmtId="3" fontId="10" fillId="0" borderId="10" xfId="0" applyNumberFormat="1" applyFont="1" applyBorder="1"/>
    <xf numFmtId="3" fontId="12" fillId="0" borderId="10" xfId="0" applyNumberFormat="1" applyFont="1" applyBorder="1"/>
    <xf numFmtId="3" fontId="8" fillId="0" borderId="12" xfId="0" applyNumberFormat="1" applyFont="1" applyBorder="1"/>
    <xf numFmtId="3" fontId="10" fillId="0" borderId="16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10" fillId="0" borderId="4" xfId="0" applyNumberFormat="1" applyFont="1" applyBorder="1"/>
    <xf numFmtId="3" fontId="8" fillId="0" borderId="11" xfId="0" applyNumberFormat="1" applyFont="1" applyBorder="1"/>
    <xf numFmtId="3" fontId="8" fillId="0" borderId="1" xfId="0" applyNumberFormat="1" applyFont="1" applyBorder="1"/>
    <xf numFmtId="3" fontId="0" fillId="0" borderId="4" xfId="0" applyNumberFormat="1" applyBorder="1"/>
    <xf numFmtId="3" fontId="1" fillId="0" borderId="5" xfId="0" applyNumberFormat="1" applyFont="1" applyBorder="1"/>
    <xf numFmtId="3" fontId="13" fillId="0" borderId="11" xfId="0" applyNumberFormat="1" applyFont="1" applyBorder="1"/>
    <xf numFmtId="3" fontId="13" fillId="0" borderId="21" xfId="0" applyNumberFormat="1" applyFont="1" applyBorder="1"/>
    <xf numFmtId="3" fontId="13" fillId="0" borderId="18" xfId="0" applyNumberFormat="1" applyFont="1" applyBorder="1"/>
    <xf numFmtId="0" fontId="9" fillId="0" borderId="21" xfId="0" applyFont="1" applyBorder="1"/>
    <xf numFmtId="3" fontId="10" fillId="0" borderId="22" xfId="0" applyNumberFormat="1" applyFont="1" applyBorder="1"/>
    <xf numFmtId="0" fontId="0" fillId="0" borderId="31" xfId="0" applyBorder="1"/>
    <xf numFmtId="0" fontId="0" fillId="0" borderId="32" xfId="0" applyBorder="1" applyAlignment="1">
      <alignment vertical="center"/>
    </xf>
    <xf numFmtId="0" fontId="0" fillId="0" borderId="17" xfId="0" applyBorder="1"/>
    <xf numFmtId="3" fontId="0" fillId="0" borderId="33" xfId="0" applyNumberFormat="1" applyBorder="1"/>
    <xf numFmtId="0" fontId="0" fillId="0" borderId="32" xfId="0" applyBorder="1"/>
    <xf numFmtId="0" fontId="0" fillId="0" borderId="34" xfId="0" applyBorder="1"/>
    <xf numFmtId="0" fontId="2" fillId="0" borderId="0" xfId="0" applyFont="1" applyAlignment="1">
      <alignment vertical="center"/>
    </xf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9" fillId="0" borderId="7" xfId="0" applyFont="1" applyBorder="1"/>
    <xf numFmtId="3" fontId="8" fillId="0" borderId="13" xfId="0" applyNumberFormat="1" applyFont="1" applyBorder="1"/>
    <xf numFmtId="3" fontId="10" fillId="0" borderId="9" xfId="0" applyNumberFormat="1" applyFont="1" applyBorder="1"/>
    <xf numFmtId="3" fontId="10" fillId="0" borderId="2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0" fontId="16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6" fillId="0" borderId="29" xfId="0" applyFont="1" applyBorder="1" applyAlignment="1">
      <alignment horizontal="right" vertical="top"/>
    </xf>
    <xf numFmtId="0" fontId="0" fillId="0" borderId="29" xfId="0" applyBorder="1" applyAlignment="1">
      <alignment vertical="top"/>
    </xf>
    <xf numFmtId="3" fontId="0" fillId="0" borderId="0" xfId="0" applyNumberFormat="1" applyAlignment="1">
      <alignment vertical="center"/>
    </xf>
    <xf numFmtId="3" fontId="0" fillId="0" borderId="29" xfId="0" applyNumberFormat="1" applyBorder="1" applyAlignment="1">
      <alignment vertical="center"/>
    </xf>
    <xf numFmtId="0" fontId="1" fillId="0" borderId="0" xfId="0" applyFont="1" applyAlignment="1">
      <alignment vertical="top"/>
    </xf>
    <xf numFmtId="0" fontId="20" fillId="0" borderId="32" xfId="0" applyFont="1" applyBorder="1"/>
    <xf numFmtId="0" fontId="20" fillId="0" borderId="8" xfId="0" applyFont="1" applyBorder="1"/>
    <xf numFmtId="0" fontId="20" fillId="0" borderId="0" xfId="0" applyFont="1"/>
    <xf numFmtId="0" fontId="20" fillId="0" borderId="17" xfId="0" applyFont="1" applyBorder="1"/>
    <xf numFmtId="0" fontId="1" fillId="0" borderId="0" xfId="0" applyFont="1"/>
    <xf numFmtId="3" fontId="1" fillId="0" borderId="0" xfId="0" applyNumberFormat="1" applyFont="1"/>
    <xf numFmtId="0" fontId="21" fillId="0" borderId="8" xfId="0" applyFont="1" applyBorder="1"/>
    <xf numFmtId="0" fontId="21" fillId="0" borderId="0" xfId="0" applyFont="1"/>
    <xf numFmtId="0" fontId="21" fillId="0" borderId="42" xfId="0" applyFont="1" applyBorder="1"/>
    <xf numFmtId="0" fontId="21" fillId="0" borderId="23" xfId="0" applyFont="1" applyBorder="1"/>
    <xf numFmtId="0" fontId="21" fillId="0" borderId="32" xfId="0" applyFont="1" applyBorder="1"/>
    <xf numFmtId="0" fontId="21" fillId="0" borderId="17" xfId="0" applyFont="1" applyBorder="1"/>
    <xf numFmtId="0" fontId="22" fillId="0" borderId="33" xfId="0" applyFont="1" applyBorder="1" applyAlignment="1">
      <alignment horizontal="center"/>
    </xf>
    <xf numFmtId="0" fontId="0" fillId="0" borderId="10" xfId="0" applyBorder="1"/>
    <xf numFmtId="0" fontId="22" fillId="0" borderId="28" xfId="0" applyFont="1" applyBorder="1" applyAlignment="1">
      <alignment horizontal="center"/>
    </xf>
    <xf numFmtId="3" fontId="21" fillId="0" borderId="43" xfId="0" applyNumberFormat="1" applyFont="1" applyBorder="1" applyAlignment="1">
      <alignment horizontal="center"/>
    </xf>
    <xf numFmtId="3" fontId="21" fillId="0" borderId="44" xfId="0" applyNumberFormat="1" applyFont="1" applyBorder="1" applyAlignment="1">
      <alignment horizontal="center"/>
    </xf>
    <xf numFmtId="0" fontId="21" fillId="0" borderId="45" xfId="0" applyFont="1" applyBorder="1"/>
    <xf numFmtId="0" fontId="21" fillId="0" borderId="20" xfId="0" applyFont="1" applyBorder="1"/>
    <xf numFmtId="3" fontId="21" fillId="0" borderId="46" xfId="0" applyNumberFormat="1" applyFont="1" applyBorder="1" applyAlignment="1">
      <alignment horizontal="center"/>
    </xf>
    <xf numFmtId="3" fontId="21" fillId="0" borderId="47" xfId="0" applyNumberFormat="1" applyFont="1" applyBorder="1" applyAlignment="1">
      <alignment horizontal="center"/>
    </xf>
    <xf numFmtId="0" fontId="23" fillId="0" borderId="48" xfId="0" applyFont="1" applyBorder="1"/>
    <xf numFmtId="0" fontId="23" fillId="0" borderId="15" xfId="0" applyFont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3" fillId="0" borderId="0" xfId="0" applyFont="1"/>
    <xf numFmtId="0" fontId="22" fillId="0" borderId="12" xfId="0" applyFont="1" applyBorder="1" applyAlignment="1">
      <alignment horizontal="center"/>
    </xf>
    <xf numFmtId="164" fontId="21" fillId="0" borderId="1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3" fontId="21" fillId="0" borderId="22" xfId="0" applyNumberFormat="1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164" fontId="24" fillId="0" borderId="14" xfId="1" applyNumberFormat="1" applyFont="1" applyFill="1" applyBorder="1" applyAlignment="1" applyProtection="1">
      <alignment horizontal="center"/>
    </xf>
    <xf numFmtId="10" fontId="0" fillId="0" borderId="0" xfId="1" applyNumberFormat="1" applyFont="1"/>
    <xf numFmtId="3" fontId="1" fillId="0" borderId="10" xfId="0" applyNumberFormat="1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51" xfId="0" applyFont="1" applyBorder="1" applyAlignment="1">
      <alignment vertical="center"/>
    </xf>
    <xf numFmtId="164" fontId="1" fillId="0" borderId="0" xfId="1" applyNumberFormat="1" applyFont="1" applyBorder="1"/>
    <xf numFmtId="167" fontId="0" fillId="0" borderId="0" xfId="0" applyNumberFormat="1"/>
    <xf numFmtId="165" fontId="21" fillId="0" borderId="0" xfId="0" applyNumberFormat="1" applyFont="1"/>
    <xf numFmtId="0" fontId="21" fillId="0" borderId="43" xfId="0" applyFont="1" applyBorder="1"/>
    <xf numFmtId="0" fontId="1" fillId="0" borderId="43" xfId="0" applyFont="1" applyBorder="1"/>
    <xf numFmtId="3" fontId="0" fillId="0" borderId="43" xfId="0" applyNumberFormat="1" applyBorder="1"/>
    <xf numFmtId="10" fontId="21" fillId="0" borderId="16" xfId="0" applyNumberFormat="1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1" fillId="0" borderId="9" xfId="0" applyFont="1" applyBorder="1"/>
    <xf numFmtId="3" fontId="21" fillId="0" borderId="43" xfId="0" applyNumberFormat="1" applyFont="1" applyBorder="1" applyAlignment="1">
      <alignment horizontal="right"/>
    </xf>
    <xf numFmtId="3" fontId="21" fillId="0" borderId="44" xfId="0" applyNumberFormat="1" applyFont="1" applyBorder="1" applyAlignment="1">
      <alignment horizontal="right"/>
    </xf>
    <xf numFmtId="3" fontId="21" fillId="0" borderId="46" xfId="0" applyNumberFormat="1" applyFont="1" applyBorder="1" applyAlignment="1">
      <alignment horizontal="right"/>
    </xf>
    <xf numFmtId="3" fontId="21" fillId="0" borderId="4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3" fontId="21" fillId="0" borderId="19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1" fillId="0" borderId="53" xfId="0" applyNumberFormat="1" applyFont="1" applyBorder="1" applyAlignment="1">
      <alignment horizontal="center"/>
    </xf>
    <xf numFmtId="3" fontId="21" fillId="0" borderId="54" xfId="0" applyNumberFormat="1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10" fontId="21" fillId="0" borderId="38" xfId="0" applyNumberFormat="1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3" fontId="1" fillId="0" borderId="9" xfId="0" applyNumberFormat="1" applyFont="1" applyBorder="1" applyAlignment="1">
      <alignment horizontal="center"/>
    </xf>
    <xf numFmtId="10" fontId="21" fillId="0" borderId="17" xfId="0" applyNumberFormat="1" applyFont="1" applyBorder="1" applyAlignment="1">
      <alignment horizontal="center"/>
    </xf>
    <xf numFmtId="3" fontId="21" fillId="0" borderId="23" xfId="0" applyNumberFormat="1" applyFont="1" applyBorder="1" applyAlignment="1">
      <alignment horizontal="center"/>
    </xf>
    <xf numFmtId="164" fontId="24" fillId="0" borderId="15" xfId="1" applyNumberFormat="1" applyFont="1" applyFill="1" applyBorder="1" applyAlignment="1" applyProtection="1">
      <alignment horizontal="center"/>
    </xf>
    <xf numFmtId="0" fontId="26" fillId="0" borderId="0" xfId="2"/>
    <xf numFmtId="0" fontId="30" fillId="0" borderId="0" xfId="2" applyFont="1"/>
    <xf numFmtId="0" fontId="31" fillId="0" borderId="0" xfId="2" applyFont="1"/>
    <xf numFmtId="0" fontId="27" fillId="0" borderId="0" xfId="3"/>
    <xf numFmtId="9" fontId="0" fillId="3" borderId="51" xfId="0" applyNumberForma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9" fontId="0" fillId="3" borderId="29" xfId="0" applyNumberFormat="1" applyFill="1" applyBorder="1" applyAlignment="1">
      <alignment vertical="center"/>
    </xf>
    <xf numFmtId="3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0" fontId="0" fillId="3" borderId="29" xfId="0" applyNumberFormat="1" applyFill="1" applyBorder="1" applyAlignment="1">
      <alignment vertical="center"/>
    </xf>
    <xf numFmtId="3" fontId="1" fillId="3" borderId="11" xfId="0" applyNumberFormat="1" applyFont="1" applyFill="1" applyBorder="1"/>
    <xf numFmtId="3" fontId="0" fillId="3" borderId="4" xfId="0" applyNumberFormat="1" applyFill="1" applyBorder="1"/>
    <xf numFmtId="3" fontId="0" fillId="3" borderId="7" xfId="0" applyNumberFormat="1" applyFill="1" applyBorder="1"/>
    <xf numFmtId="3" fontId="0" fillId="3" borderId="7" xfId="0" applyNumberFormat="1" applyFill="1" applyBorder="1" applyAlignment="1">
      <alignment vertical="center"/>
    </xf>
    <xf numFmtId="3" fontId="12" fillId="3" borderId="4" xfId="0" applyNumberFormat="1" applyFont="1" applyFill="1" applyBorder="1"/>
    <xf numFmtId="3" fontId="12" fillId="3" borderId="5" xfId="0" applyNumberFormat="1" applyFont="1" applyFill="1" applyBorder="1"/>
    <xf numFmtId="3" fontId="10" fillId="3" borderId="4" xfId="0" applyNumberFormat="1" applyFont="1" applyFill="1" applyBorder="1"/>
    <xf numFmtId="3" fontId="10" fillId="3" borderId="21" xfId="0" applyNumberFormat="1" applyFont="1" applyFill="1" applyBorder="1"/>
    <xf numFmtId="3" fontId="10" fillId="3" borderId="7" xfId="0" applyNumberFormat="1" applyFont="1" applyFill="1" applyBorder="1"/>
    <xf numFmtId="3" fontId="10" fillId="3" borderId="5" xfId="0" applyNumberFormat="1" applyFont="1" applyFill="1" applyBorder="1"/>
    <xf numFmtId="164" fontId="1" fillId="0" borderId="0" xfId="1" applyNumberFormat="1" applyFont="1" applyFill="1" applyBorder="1"/>
    <xf numFmtId="3" fontId="0" fillId="4" borderId="33" xfId="0" applyNumberFormat="1" applyFill="1" applyBorder="1"/>
    <xf numFmtId="3" fontId="20" fillId="4" borderId="33" xfId="0" applyNumberFormat="1" applyFont="1" applyFill="1" applyBorder="1"/>
    <xf numFmtId="3" fontId="33" fillId="4" borderId="30" xfId="0" applyNumberFormat="1" applyFont="1" applyFill="1" applyBorder="1"/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0" fillId="5" borderId="31" xfId="0" applyFill="1" applyBorder="1"/>
    <xf numFmtId="0" fontId="0" fillId="5" borderId="3" xfId="0" applyFill="1" applyBorder="1"/>
    <xf numFmtId="0" fontId="1" fillId="5" borderId="31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5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8" fillId="5" borderId="1" xfId="0" applyFont="1" applyFill="1" applyBorder="1"/>
    <xf numFmtId="0" fontId="5" fillId="5" borderId="1" xfId="0" applyFont="1" applyFill="1" applyBorder="1"/>
    <xf numFmtId="3" fontId="0" fillId="0" borderId="16" xfId="0" applyNumberFormat="1" applyBorder="1"/>
    <xf numFmtId="3" fontId="0" fillId="0" borderId="5" xfId="0" applyNumberFormat="1" applyBorder="1"/>
    <xf numFmtId="3" fontId="20" fillId="0" borderId="7" xfId="0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20" fillId="0" borderId="36" xfId="0" applyNumberFormat="1" applyFont="1" applyBorder="1"/>
    <xf numFmtId="3" fontId="20" fillId="0" borderId="37" xfId="0" applyNumberFormat="1" applyFont="1" applyBorder="1"/>
    <xf numFmtId="3" fontId="34" fillId="7" borderId="39" xfId="0" applyNumberFormat="1" applyFont="1" applyFill="1" applyBorder="1" applyAlignment="1">
      <alignment horizontal="center"/>
    </xf>
    <xf numFmtId="3" fontId="34" fillId="7" borderId="22" xfId="0" applyNumberFormat="1" applyFont="1" applyFill="1" applyBorder="1" applyAlignment="1">
      <alignment horizontal="center"/>
    </xf>
    <xf numFmtId="0" fontId="20" fillId="7" borderId="34" xfId="0" applyFont="1" applyFill="1" applyBorder="1"/>
    <xf numFmtId="0" fontId="20" fillId="7" borderId="13" xfId="0" applyFont="1" applyFill="1" applyBorder="1"/>
    <xf numFmtId="0" fontId="20" fillId="8" borderId="32" xfId="0" applyFont="1" applyFill="1" applyBorder="1"/>
    <xf numFmtId="0" fontId="20" fillId="8" borderId="17" xfId="0" applyFont="1" applyFill="1" applyBorder="1"/>
    <xf numFmtId="3" fontId="20" fillId="8" borderId="33" xfId="0" applyNumberFormat="1" applyFont="1" applyFill="1" applyBorder="1"/>
    <xf numFmtId="0" fontId="1" fillId="8" borderId="31" xfId="0" applyFont="1" applyFill="1" applyBorder="1"/>
    <xf numFmtId="0" fontId="1" fillId="8" borderId="3" xfId="0" applyFont="1" applyFill="1" applyBorder="1"/>
    <xf numFmtId="3" fontId="1" fillId="8" borderId="30" xfId="0" applyNumberFormat="1" applyFont="1" applyFill="1" applyBorder="1"/>
    <xf numFmtId="0" fontId="33" fillId="8" borderId="31" xfId="0" applyFont="1" applyFill="1" applyBorder="1"/>
    <xf numFmtId="0" fontId="33" fillId="8" borderId="3" xfId="0" applyFont="1" applyFill="1" applyBorder="1"/>
    <xf numFmtId="3" fontId="33" fillId="8" borderId="30" xfId="0" applyNumberFormat="1" applyFont="1" applyFill="1" applyBorder="1"/>
    <xf numFmtId="3" fontId="33" fillId="8" borderId="6" xfId="0" applyNumberFormat="1" applyFont="1" applyFill="1" applyBorder="1"/>
    <xf numFmtId="3" fontId="33" fillId="8" borderId="52" xfId="0" applyNumberFormat="1" applyFont="1" applyFill="1" applyBorder="1"/>
    <xf numFmtId="3" fontId="20" fillId="8" borderId="38" xfId="0" applyNumberFormat="1" applyFont="1" applyFill="1" applyBorder="1"/>
    <xf numFmtId="3" fontId="20" fillId="8" borderId="55" xfId="0" applyNumberFormat="1" applyFont="1" applyFill="1" applyBorder="1"/>
    <xf numFmtId="0" fontId="0" fillId="0" borderId="48" xfId="0" applyBorder="1"/>
    <xf numFmtId="10" fontId="11" fillId="2" borderId="15" xfId="0" applyNumberFormat="1" applyFont="1" applyFill="1" applyBorder="1"/>
    <xf numFmtId="0" fontId="0" fillId="0" borderId="41" xfId="0" applyBorder="1"/>
    <xf numFmtId="166" fontId="0" fillId="0" borderId="36" xfId="0" applyNumberFormat="1" applyBorder="1"/>
    <xf numFmtId="0" fontId="0" fillId="0" borderId="36" xfId="0" applyBorder="1"/>
    <xf numFmtId="0" fontId="0" fillId="4" borderId="36" xfId="0" applyFill="1" applyBorder="1"/>
    <xf numFmtId="166" fontId="0" fillId="0" borderId="37" xfId="0" applyNumberFormat="1" applyBorder="1"/>
    <xf numFmtId="0" fontId="0" fillId="0" borderId="13" xfId="0" applyBorder="1"/>
    <xf numFmtId="3" fontId="0" fillId="0" borderId="40" xfId="0" applyNumberFormat="1" applyBorder="1"/>
    <xf numFmtId="3" fontId="0" fillId="0" borderId="35" xfId="0" applyNumberFormat="1" applyBorder="1"/>
    <xf numFmtId="3" fontId="0" fillId="4" borderId="35" xfId="0" applyNumberFormat="1" applyFill="1" applyBorder="1"/>
    <xf numFmtId="3" fontId="0" fillId="0" borderId="57" xfId="0" applyNumberFormat="1" applyBorder="1"/>
    <xf numFmtId="0" fontId="1" fillId="0" borderId="48" xfId="0" applyFont="1" applyBorder="1"/>
    <xf numFmtId="0" fontId="1" fillId="0" borderId="15" xfId="0" applyFont="1" applyBorder="1"/>
    <xf numFmtId="3" fontId="1" fillId="0" borderId="41" xfId="0" applyNumberFormat="1" applyFont="1" applyBorder="1"/>
    <xf numFmtId="3" fontId="1" fillId="0" borderId="36" xfId="0" applyNumberFormat="1" applyFont="1" applyBorder="1"/>
    <xf numFmtId="3" fontId="1" fillId="4" borderId="36" xfId="0" applyNumberFormat="1" applyFont="1" applyFill="1" applyBorder="1"/>
    <xf numFmtId="3" fontId="1" fillId="0" borderId="37" xfId="0" applyNumberFormat="1" applyFont="1" applyBorder="1"/>
    <xf numFmtId="0" fontId="20" fillId="8" borderId="34" xfId="0" applyFont="1" applyFill="1" applyBorder="1"/>
    <xf numFmtId="0" fontId="20" fillId="8" borderId="13" xfId="0" applyFont="1" applyFill="1" applyBorder="1"/>
    <xf numFmtId="3" fontId="20" fillId="8" borderId="40" xfId="0" applyNumberFormat="1" applyFont="1" applyFill="1" applyBorder="1"/>
    <xf numFmtId="3" fontId="20" fillId="8" borderId="35" xfId="0" applyNumberFormat="1" applyFont="1" applyFill="1" applyBorder="1"/>
    <xf numFmtId="3" fontId="20" fillId="4" borderId="35" xfId="0" applyNumberFormat="1" applyFont="1" applyFill="1" applyBorder="1"/>
    <xf numFmtId="3" fontId="20" fillId="8" borderId="57" xfId="0" applyNumberFormat="1" applyFont="1" applyFill="1" applyBorder="1"/>
    <xf numFmtId="0" fontId="0" fillId="0" borderId="15" xfId="0" applyBorder="1"/>
    <xf numFmtId="3" fontId="0" fillId="0" borderId="41" xfId="0" applyNumberFormat="1" applyBorder="1"/>
    <xf numFmtId="3" fontId="0" fillId="0" borderId="36" xfId="0" applyNumberFormat="1" applyBorder="1"/>
    <xf numFmtId="3" fontId="0" fillId="4" borderId="36" xfId="0" applyNumberFormat="1" applyFill="1" applyBorder="1"/>
    <xf numFmtId="3" fontId="0" fillId="0" borderId="37" xfId="0" applyNumberFormat="1" applyBorder="1"/>
    <xf numFmtId="10" fontId="11" fillId="2" borderId="3" xfId="0" applyNumberFormat="1" applyFont="1" applyFill="1" applyBorder="1"/>
    <xf numFmtId="0" fontId="0" fillId="0" borderId="30" xfId="0" applyBorder="1"/>
    <xf numFmtId="0" fontId="0" fillId="4" borderId="30" xfId="0" applyFill="1" applyBorder="1"/>
    <xf numFmtId="166" fontId="0" fillId="0" borderId="52" xfId="0" applyNumberFormat="1" applyBorder="1"/>
    <xf numFmtId="9" fontId="11" fillId="2" borderId="3" xfId="0" applyNumberFormat="1" applyFont="1" applyFill="1" applyBorder="1"/>
    <xf numFmtId="164" fontId="0" fillId="3" borderId="43" xfId="0" applyNumberFormat="1" applyFill="1" applyBorder="1"/>
    <xf numFmtId="0" fontId="1" fillId="0" borderId="25" xfId="0" applyFont="1" applyBorder="1" applyAlignment="1">
      <alignment vertical="center"/>
    </xf>
    <xf numFmtId="0" fontId="0" fillId="0" borderId="25" xfId="0" applyBorder="1"/>
    <xf numFmtId="0" fontId="0" fillId="0" borderId="27" xfId="0" applyBorder="1"/>
    <xf numFmtId="9" fontId="0" fillId="3" borderId="0" xfId="0" applyNumberFormat="1" applyFill="1"/>
    <xf numFmtId="0" fontId="20" fillId="0" borderId="31" xfId="0" applyFont="1" applyBorder="1"/>
    <xf numFmtId="3" fontId="20" fillId="0" borderId="30" xfId="0" applyNumberFormat="1" applyFont="1" applyBorder="1"/>
    <xf numFmtId="3" fontId="20" fillId="0" borderId="52" xfId="0" applyNumberFormat="1" applyFont="1" applyBorder="1"/>
    <xf numFmtId="0" fontId="20" fillId="0" borderId="48" xfId="0" applyFont="1" applyBorder="1"/>
    <xf numFmtId="3" fontId="20" fillId="0" borderId="2" xfId="0" applyNumberFormat="1" applyFont="1" applyBorder="1"/>
    <xf numFmtId="3" fontId="20" fillId="0" borderId="14" xfId="0" applyNumberFormat="1" applyFont="1" applyBorder="1"/>
    <xf numFmtId="3" fontId="20" fillId="0" borderId="1" xfId="0" applyNumberFormat="1" applyFont="1" applyBorder="1"/>
    <xf numFmtId="0" fontId="20" fillId="0" borderId="4" xfId="0" applyFont="1" applyBorder="1"/>
    <xf numFmtId="3" fontId="20" fillId="0" borderId="4" xfId="0" applyNumberFormat="1" applyFont="1" applyBorder="1"/>
    <xf numFmtId="3" fontId="20" fillId="0" borderId="39" xfId="0" applyNumberFormat="1" applyFont="1" applyBorder="1"/>
    <xf numFmtId="3" fontId="20" fillId="0" borderId="49" xfId="0" applyNumberFormat="1" applyFont="1" applyBorder="1"/>
    <xf numFmtId="3" fontId="20" fillId="0" borderId="56" xfId="0" applyNumberFormat="1" applyFont="1" applyBorder="1"/>
    <xf numFmtId="0" fontId="20" fillId="8" borderId="1" xfId="0" applyFont="1" applyFill="1" applyBorder="1"/>
    <xf numFmtId="3" fontId="20" fillId="8" borderId="1" xfId="0" applyNumberFormat="1" applyFont="1" applyFill="1" applyBorder="1"/>
    <xf numFmtId="3" fontId="20" fillId="8" borderId="6" xfId="0" applyNumberFormat="1" applyFont="1" applyFill="1" applyBorder="1"/>
    <xf numFmtId="3" fontId="20" fillId="8" borderId="30" xfId="0" applyNumberFormat="1" applyFont="1" applyFill="1" applyBorder="1"/>
    <xf numFmtId="3" fontId="20" fillId="8" borderId="52" xfId="0" applyNumberFormat="1" applyFont="1" applyFill="1" applyBorder="1"/>
    <xf numFmtId="0" fontId="20" fillId="0" borderId="1" xfId="0" applyFont="1" applyBorder="1"/>
    <xf numFmtId="3" fontId="20" fillId="0" borderId="6" xfId="0" applyNumberFormat="1" applyFont="1" applyBorder="1"/>
    <xf numFmtId="0" fontId="0" fillId="0" borderId="58" xfId="0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39" xfId="0" applyNumberFormat="1" applyBorder="1"/>
    <xf numFmtId="3" fontId="0" fillId="0" borderId="49" xfId="0" applyNumberFormat="1" applyBorder="1"/>
    <xf numFmtId="3" fontId="0" fillId="0" borderId="56" xfId="0" applyNumberFormat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3" fontId="0" fillId="0" borderId="66" xfId="0" applyNumberFormat="1" applyBorder="1"/>
    <xf numFmtId="3" fontId="0" fillId="0" borderId="67" xfId="0" applyNumberFormat="1" applyBorder="1"/>
    <xf numFmtId="0" fontId="0" fillId="0" borderId="9" xfId="0" applyBorder="1"/>
    <xf numFmtId="0" fontId="20" fillId="8" borderId="8" xfId="0" applyFont="1" applyFill="1" applyBorder="1"/>
    <xf numFmtId="0" fontId="20" fillId="8" borderId="9" xfId="0" applyFont="1" applyFill="1" applyBorder="1"/>
    <xf numFmtId="3" fontId="20" fillId="8" borderId="49" xfId="0" applyNumberFormat="1" applyFont="1" applyFill="1" applyBorder="1"/>
    <xf numFmtId="3" fontId="1" fillId="8" borderId="52" xfId="0" applyNumberFormat="1" applyFont="1" applyFill="1" applyBorder="1"/>
    <xf numFmtId="0" fontId="0" fillId="0" borderId="62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4" borderId="66" xfId="0" applyNumberFormat="1" applyFill="1" applyBorder="1"/>
    <xf numFmtId="10" fontId="11" fillId="2" borderId="63" xfId="0" applyNumberFormat="1" applyFont="1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166" fontId="0" fillId="0" borderId="61" xfId="0" applyNumberFormat="1" applyBorder="1"/>
    <xf numFmtId="3" fontId="0" fillId="0" borderId="68" xfId="0" applyNumberFormat="1" applyBorder="1"/>
    <xf numFmtId="3" fontId="0" fillId="4" borderId="60" xfId="0" applyNumberFormat="1" applyFill="1" applyBorder="1"/>
    <xf numFmtId="3" fontId="0" fillId="0" borderId="69" xfId="0" applyNumberFormat="1" applyBorder="1"/>
    <xf numFmtId="0" fontId="20" fillId="8" borderId="31" xfId="0" applyFont="1" applyFill="1" applyBorder="1"/>
    <xf numFmtId="3" fontId="20" fillId="8" borderId="2" xfId="0" applyNumberFormat="1" applyFont="1" applyFill="1" applyBorder="1"/>
    <xf numFmtId="0" fontId="36" fillId="0" borderId="0" xfId="0" applyFont="1"/>
    <xf numFmtId="0" fontId="31" fillId="0" borderId="0" xfId="0" applyFont="1"/>
    <xf numFmtId="0" fontId="26" fillId="0" borderId="0" xfId="0" applyFont="1"/>
    <xf numFmtId="0" fontId="37" fillId="0" borderId="0" xfId="0" applyFont="1"/>
    <xf numFmtId="0" fontId="32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6" fillId="0" borderId="0" xfId="2"/>
    <xf numFmtId="0" fontId="28" fillId="0" borderId="0" xfId="3" applyFont="1" applyAlignment="1">
      <alignment horizontal="center"/>
    </xf>
    <xf numFmtId="0" fontId="29" fillId="0" borderId="0" xfId="3" applyFont="1" applyAlignment="1">
      <alignment horizontal="center"/>
    </xf>
    <xf numFmtId="0" fontId="31" fillId="0" borderId="0" xfId="0" applyFont="1" applyAlignment="1">
      <alignment horizontal="center"/>
    </xf>
  </cellXfs>
  <cellStyles count="4">
    <cellStyle name="Normální" xfId="0" builtinId="0"/>
    <cellStyle name="normální 3" xfId="3" xr:uid="{00000000-0005-0000-0000-000001000000}"/>
    <cellStyle name="normální_DM_2007_01_Iterace" xfId="2" xr:uid="{00000000-0005-0000-0000-000002000000}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(varianta equity)</a:t>
            </a:r>
          </a:p>
        </c:rich>
      </c:tx>
      <c:layout>
        <c:manualLayout>
          <c:xMode val="edge"/>
          <c:yMode val="edge"/>
          <c:x val="0.17268462321330708"/>
          <c:y val="2.0833333333333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683211007424"/>
          <c:y val="0.18750063578503351"/>
          <c:w val="0.80533813694114942"/>
          <c:h val="0.600696481311310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5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srgbClr val="C00000"/>
                  </a:solidFill>
                </a:ln>
              </c:spPr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01-40D1-BDB2-D7555A613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Ocenění!$C$40:$J$40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Ocenění!$C$47:$J$47</c:f>
              <c:numCache>
                <c:formatCode>#,##0</c:formatCode>
                <c:ptCount val="8"/>
                <c:pt idx="0">
                  <c:v>10647.448275862071</c:v>
                </c:pt>
                <c:pt idx="1">
                  <c:v>11477.531510107015</c:v>
                </c:pt>
                <c:pt idx="2">
                  <c:v>12086.219955717741</c:v>
                </c:pt>
                <c:pt idx="3">
                  <c:v>12506.928644166886</c:v>
                </c:pt>
                <c:pt idx="4">
                  <c:v>12768.312928491048</c:v>
                </c:pt>
                <c:pt idx="5">
                  <c:v>12894.927000117397</c:v>
                </c:pt>
                <c:pt idx="6">
                  <c:v>12868.164487599095</c:v>
                </c:pt>
                <c:pt idx="7">
                  <c:v>12716.940661799112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1-40D1-BDB2-D7555A613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67776"/>
        <c:axId val="139075584"/>
      </c:lineChart>
      <c:catAx>
        <c:axId val="13906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let zbývající životnosti podniku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33595009415031923"/>
              <c:y val="0.899308471857684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3907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075584"/>
        <c:scaling>
          <c:orientation val="minMax"/>
          <c:min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Výsledná hodnota netto</a:t>
                </a:r>
              </a:p>
            </c:rich>
          </c:tx>
          <c:layout>
            <c:manualLayout>
              <c:xMode val="edge"/>
              <c:yMode val="edge"/>
              <c:x val="1.0465724751439042E-2"/>
              <c:y val="0.187501458151064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39067776"/>
        <c:crosses val="autoZero"/>
        <c:crossBetween val="midCat"/>
      </c:valAx>
      <c:spPr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16200000" scaled="1"/>
          <a:tileRect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(varianta entity)</a:t>
            </a:r>
          </a:p>
        </c:rich>
      </c:tx>
      <c:layout>
        <c:manualLayout>
          <c:xMode val="edge"/>
          <c:yMode val="edge"/>
          <c:x val="0.20094208004219269"/>
          <c:y val="1.838235294117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683211007424"/>
          <c:y val="0.1985294117647059"/>
          <c:w val="0.80533813694114942"/>
          <c:h val="0.577205882352941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5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srgbClr val="C00000"/>
                  </a:solidFill>
                </a:ln>
              </c:spPr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F8-44A8-BABD-70AC26711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Ocenění!$C$50:$J$50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Ocenění!$C$59:$J$59</c:f>
              <c:numCache>
                <c:formatCode>#,##0</c:formatCode>
                <c:ptCount val="8"/>
                <c:pt idx="0">
                  <c:v>10594.559540889528</c:v>
                </c:pt>
                <c:pt idx="1">
                  <c:v>11392.244433511936</c:v>
                </c:pt>
                <c:pt idx="2">
                  <c:v>11972.6847061521</c:v>
                </c:pt>
                <c:pt idx="3">
                  <c:v>12358.359045737147</c:v>
                </c:pt>
                <c:pt idx="4">
                  <c:v>12569.161990924593</c:v>
                </c:pt>
                <c:pt idx="5">
                  <c:v>12622.675836213701</c:v>
                </c:pt>
                <c:pt idx="6">
                  <c:v>12534.414382295603</c:v>
                </c:pt>
                <c:pt idx="7">
                  <c:v>12318.041368934668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F8-44A8-BABD-70AC2671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45472"/>
        <c:axId val="75854976"/>
      </c:lineChart>
      <c:catAx>
        <c:axId val="15114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Počet let zbývající životnosti podniku</a:t>
                </a:r>
              </a:p>
            </c:rich>
          </c:tx>
          <c:layout>
            <c:manualLayout>
              <c:xMode val="edge"/>
              <c:yMode val="edge"/>
              <c:x val="0.35478839870290951"/>
              <c:y val="0.893382352941176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854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85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Výsledná hodnota netto</a:t>
                </a:r>
              </a:p>
            </c:rich>
          </c:tx>
          <c:layout>
            <c:manualLayout>
              <c:xMode val="edge"/>
              <c:yMode val="edge"/>
              <c:x val="1.6745159602302471E-2"/>
              <c:y val="0.188725490196078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51145472"/>
        <c:crosses val="autoZero"/>
        <c:crossBetween val="midCat"/>
      </c:valAx>
      <c:spPr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16200000" scaled="1"/>
          <a:tileRect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(varianta APV)</a:t>
            </a:r>
          </a:p>
        </c:rich>
      </c:tx>
      <c:layout>
        <c:manualLayout>
          <c:xMode val="edge"/>
          <c:yMode val="edge"/>
          <c:x val="0.20094208004219286"/>
          <c:y val="1.838235294117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683211007429"/>
          <c:y val="0.1985294117647059"/>
          <c:w val="0.80533813694114942"/>
          <c:h val="0.577205882352941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5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srgbClr val="C00000"/>
                  </a:solidFill>
                </a:ln>
              </c:spPr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47-4485-A0C8-49B363E41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Ocenění!$C$50:$J$50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Ocenění!$C$76:$J$76</c:f>
              <c:numCache>
                <c:formatCode>#,##0</c:formatCode>
                <c:ptCount val="8"/>
                <c:pt idx="0">
                  <c:v>10533.289727463312</c:v>
                </c:pt>
                <c:pt idx="1">
                  <c:v>11277.979304967717</c:v>
                </c:pt>
                <c:pt idx="2">
                  <c:v>11815.747259337764</c:v>
                </c:pt>
                <c:pt idx="3">
                  <c:v>12170.190355490304</c:v>
                </c:pt>
                <c:pt idx="4">
                  <c:v>12362.073309829815</c:v>
                </c:pt>
                <c:pt idx="5">
                  <c:v>12409.649834288004</c:v>
                </c:pt>
                <c:pt idx="6">
                  <c:v>12320.967496033914</c:v>
                </c:pt>
                <c:pt idx="7">
                  <c:v>12110.986438458443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47-4485-A0C8-49B363E41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71744"/>
        <c:axId val="75873664"/>
      </c:lineChart>
      <c:catAx>
        <c:axId val="7587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Počet let zbývající životnosti podniku</a:t>
                </a:r>
              </a:p>
            </c:rich>
          </c:tx>
          <c:layout>
            <c:manualLayout>
              <c:xMode val="edge"/>
              <c:yMode val="edge"/>
              <c:x val="0.35478839870290962"/>
              <c:y val="0.893382352941176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873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87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Výsledná hodnota netto</a:t>
                </a:r>
              </a:p>
            </c:rich>
          </c:tx>
          <c:layout>
            <c:manualLayout>
              <c:xMode val="edge"/>
              <c:yMode val="edge"/>
              <c:x val="1.6745159602302485E-2"/>
              <c:y val="0.188725490196078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871744"/>
        <c:crosses val="autoZero"/>
        <c:crossBetween val="midCat"/>
      </c:valAx>
      <c:spPr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16200000" scaled="1"/>
          <a:tileRect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Iterace!#REF!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Iterace!#REF!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C4-4A06-B59E-60BBC4A3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71584"/>
        <c:axId val="75978240"/>
      </c:lineChart>
      <c:catAx>
        <c:axId val="759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97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97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97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289-4765-B93C-C7F9BD74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14336"/>
        <c:axId val="76016640"/>
      </c:lineChart>
      <c:catAx>
        <c:axId val="7601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601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601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601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77B-4A9A-B532-0ACD3DAF3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16576"/>
        <c:axId val="78918400"/>
      </c:lineChart>
      <c:catAx>
        <c:axId val="7621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891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891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621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064-4704-8077-D3600A9C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22432"/>
        <c:axId val="79124736"/>
      </c:lineChart>
      <c:catAx>
        <c:axId val="7912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912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12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912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91A-4E0B-85B8-6FD88A4C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8160"/>
        <c:axId val="79150464"/>
      </c:lineChart>
      <c:catAx>
        <c:axId val="791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9150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1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914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Vývoj amortizační hodnoty v čase (var. Entity)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BE2-49E6-AA57-36A0474B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87104"/>
        <c:axId val="81097856"/>
      </c:lineChart>
      <c:catAx>
        <c:axId val="8108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1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09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Hodnota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1087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36</xdr:row>
      <xdr:rowOff>180975</xdr:rowOff>
    </xdr:from>
    <xdr:to>
      <xdr:col>19</xdr:col>
      <xdr:colOff>638175</xdr:colOff>
      <xdr:row>47</xdr:row>
      <xdr:rowOff>19051</xdr:rowOff>
    </xdr:to>
    <xdr:graphicFrame macro="">
      <xdr:nvGraphicFramePr>
        <xdr:cNvPr id="2251" name="Chart 1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48</xdr:row>
      <xdr:rowOff>209549</xdr:rowOff>
    </xdr:from>
    <xdr:to>
      <xdr:col>19</xdr:col>
      <xdr:colOff>638175</xdr:colOff>
      <xdr:row>59</xdr:row>
      <xdr:rowOff>28574</xdr:rowOff>
    </xdr:to>
    <xdr:graphicFrame macro="">
      <xdr:nvGraphicFramePr>
        <xdr:cNvPr id="2252" name="Chart 2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</xdr:colOff>
      <xdr:row>61</xdr:row>
      <xdr:rowOff>9525</xdr:rowOff>
    </xdr:from>
    <xdr:to>
      <xdr:col>19</xdr:col>
      <xdr:colOff>628650</xdr:colOff>
      <xdr:row>71</xdr:row>
      <xdr:rowOff>209550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109</xdr:row>
      <xdr:rowOff>0</xdr:rowOff>
    </xdr:from>
    <xdr:to>
      <xdr:col>9</xdr:col>
      <xdr:colOff>504825</xdr:colOff>
      <xdr:row>109</xdr:row>
      <xdr:rowOff>0</xdr:rowOff>
    </xdr:to>
    <xdr:graphicFrame macro="">
      <xdr:nvGraphicFramePr>
        <xdr:cNvPr id="3263" name="Chart 2">
          <a:extLst>
            <a:ext uri="{FF2B5EF4-FFF2-40B4-BE49-F238E27FC236}">
              <a16:creationId xmlns:a16="http://schemas.microsoft.com/office/drawing/2014/main" id="{00000000-0008-0000-0400-0000BF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116</xdr:row>
      <xdr:rowOff>0</xdr:rowOff>
    </xdr:from>
    <xdr:to>
      <xdr:col>9</xdr:col>
      <xdr:colOff>504825</xdr:colOff>
      <xdr:row>116</xdr:row>
      <xdr:rowOff>0</xdr:rowOff>
    </xdr:to>
    <xdr:graphicFrame macro="">
      <xdr:nvGraphicFramePr>
        <xdr:cNvPr id="3264" name="Chart 2">
          <a:extLst>
            <a:ext uri="{FF2B5EF4-FFF2-40B4-BE49-F238E27FC236}">
              <a16:creationId xmlns:a16="http://schemas.microsoft.com/office/drawing/2014/main" id="{00000000-0008-0000-0400-0000C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123</xdr:row>
      <xdr:rowOff>0</xdr:rowOff>
    </xdr:from>
    <xdr:to>
      <xdr:col>9</xdr:col>
      <xdr:colOff>504825</xdr:colOff>
      <xdr:row>123</xdr:row>
      <xdr:rowOff>0</xdr:rowOff>
    </xdr:to>
    <xdr:graphicFrame macro="">
      <xdr:nvGraphicFramePr>
        <xdr:cNvPr id="3265" name="Chart 2">
          <a:extLst>
            <a:ext uri="{FF2B5EF4-FFF2-40B4-BE49-F238E27FC236}">
              <a16:creationId xmlns:a16="http://schemas.microsoft.com/office/drawing/2014/main" id="{00000000-0008-0000-0400-0000C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130</xdr:row>
      <xdr:rowOff>0</xdr:rowOff>
    </xdr:from>
    <xdr:to>
      <xdr:col>9</xdr:col>
      <xdr:colOff>504825</xdr:colOff>
      <xdr:row>130</xdr:row>
      <xdr:rowOff>0</xdr:rowOff>
    </xdr:to>
    <xdr:graphicFrame macro="">
      <xdr:nvGraphicFramePr>
        <xdr:cNvPr id="3266" name="Chart 2">
          <a:extLst>
            <a:ext uri="{FF2B5EF4-FFF2-40B4-BE49-F238E27FC236}">
              <a16:creationId xmlns:a16="http://schemas.microsoft.com/office/drawing/2014/main" id="{00000000-0008-0000-0400-0000C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137</xdr:row>
      <xdr:rowOff>0</xdr:rowOff>
    </xdr:from>
    <xdr:to>
      <xdr:col>9</xdr:col>
      <xdr:colOff>504825</xdr:colOff>
      <xdr:row>137</xdr:row>
      <xdr:rowOff>0</xdr:rowOff>
    </xdr:to>
    <xdr:graphicFrame macro="">
      <xdr:nvGraphicFramePr>
        <xdr:cNvPr id="3267" name="Chart 2">
          <a:extLst>
            <a:ext uri="{FF2B5EF4-FFF2-40B4-BE49-F238E27FC236}">
              <a16:creationId xmlns:a16="http://schemas.microsoft.com/office/drawing/2014/main" id="{00000000-0008-0000-0400-0000C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144</xdr:row>
      <xdr:rowOff>0</xdr:rowOff>
    </xdr:from>
    <xdr:to>
      <xdr:col>9</xdr:col>
      <xdr:colOff>504825</xdr:colOff>
      <xdr:row>144</xdr:row>
      <xdr:rowOff>0</xdr:rowOff>
    </xdr:to>
    <xdr:graphicFrame macro="">
      <xdr:nvGraphicFramePr>
        <xdr:cNvPr id="3268" name="Chart 2">
          <a:extLst>
            <a:ext uri="{FF2B5EF4-FFF2-40B4-BE49-F238E27FC236}">
              <a16:creationId xmlns:a16="http://schemas.microsoft.com/office/drawing/2014/main" id="{00000000-0008-0000-0400-0000C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workbookViewId="0">
      <selection sqref="A1:I1"/>
    </sheetView>
  </sheetViews>
  <sheetFormatPr defaultRowHeight="15.75" x14ac:dyDescent="0.25"/>
  <cols>
    <col min="1" max="8" width="8.125" customWidth="1"/>
  </cols>
  <sheetData>
    <row r="1" spans="1:9" s="154" customFormat="1" ht="12.75" x14ac:dyDescent="0.2">
      <c r="A1" s="309"/>
      <c r="B1" s="309"/>
      <c r="C1" s="309"/>
      <c r="D1" s="309"/>
      <c r="E1" s="309"/>
      <c r="F1" s="309"/>
      <c r="G1" s="309"/>
      <c r="H1" s="309"/>
      <c r="I1" s="309"/>
    </row>
    <row r="2" spans="1:9" s="154" customFormat="1" ht="21" customHeight="1" x14ac:dyDescent="0.25">
      <c r="A2" s="310" t="s">
        <v>128</v>
      </c>
      <c r="B2" s="310"/>
      <c r="C2" s="310"/>
      <c r="D2" s="310"/>
      <c r="E2" s="310"/>
      <c r="F2" s="310"/>
      <c r="G2" s="310"/>
      <c r="H2" s="310"/>
      <c r="I2" s="310"/>
    </row>
    <row r="3" spans="1:9" s="155" customFormat="1" ht="23.25" customHeight="1" x14ac:dyDescent="0.25">
      <c r="A3" s="311" t="s">
        <v>129</v>
      </c>
      <c r="B3" s="311"/>
      <c r="C3" s="311"/>
      <c r="D3" s="311"/>
      <c r="E3" s="311"/>
      <c r="F3" s="311"/>
      <c r="G3" s="311"/>
      <c r="H3" s="311"/>
      <c r="I3" s="311"/>
    </row>
    <row r="4" spans="1:9" s="154" customFormat="1" ht="15" customHeight="1" x14ac:dyDescent="0.2">
      <c r="A4" s="312" t="s">
        <v>157</v>
      </c>
      <c r="B4" s="312"/>
      <c r="C4" s="312"/>
      <c r="D4" s="312"/>
      <c r="E4" s="312"/>
      <c r="F4" s="312"/>
      <c r="G4" s="312"/>
      <c r="H4" s="312"/>
      <c r="I4" s="312"/>
    </row>
    <row r="5" spans="1:9" s="154" customFormat="1" ht="15.75" customHeight="1" x14ac:dyDescent="0.2">
      <c r="A5" s="312" t="s">
        <v>158</v>
      </c>
      <c r="B5" s="312"/>
      <c r="C5" s="312"/>
      <c r="D5" s="312"/>
      <c r="E5" s="312"/>
      <c r="F5" s="312"/>
      <c r="G5" s="312"/>
      <c r="H5" s="312"/>
      <c r="I5" s="312"/>
    </row>
    <row r="6" spans="1:9" s="154" customFormat="1" ht="21.75" customHeight="1" x14ac:dyDescent="0.2">
      <c r="A6" s="156"/>
      <c r="B6" s="156"/>
      <c r="C6" s="156"/>
      <c r="D6" s="156"/>
      <c r="E6" s="156"/>
      <c r="F6" s="156"/>
      <c r="G6" s="156"/>
      <c r="H6" s="156"/>
      <c r="I6" s="156"/>
    </row>
    <row r="7" spans="1:9" s="154" customFormat="1" ht="15" x14ac:dyDescent="0.25">
      <c r="A7" s="308" t="s">
        <v>130</v>
      </c>
      <c r="B7" s="308"/>
      <c r="C7" s="308"/>
      <c r="D7" s="308"/>
      <c r="E7" s="308"/>
      <c r="F7" s="308"/>
      <c r="G7" s="308"/>
      <c r="H7" s="308"/>
      <c r="I7" s="308"/>
    </row>
    <row r="8" spans="1:9" s="154" customFormat="1" ht="19.5" customHeight="1" x14ac:dyDescent="0.25">
      <c r="A8" s="307" t="s">
        <v>136</v>
      </c>
      <c r="B8" s="307"/>
      <c r="C8" s="307"/>
      <c r="D8" s="307"/>
      <c r="E8" s="307"/>
      <c r="F8" s="307"/>
      <c r="G8" s="307"/>
      <c r="H8" s="307"/>
      <c r="I8" s="307"/>
    </row>
    <row r="9" spans="1:9" s="154" customFormat="1" ht="19.5" customHeight="1" x14ac:dyDescent="0.25">
      <c r="A9" s="307" t="s">
        <v>137</v>
      </c>
      <c r="B9" s="307"/>
      <c r="C9" s="307"/>
      <c r="D9" s="307"/>
      <c r="E9" s="307"/>
      <c r="F9" s="307"/>
      <c r="G9" s="307"/>
      <c r="H9" s="307"/>
      <c r="I9" s="307"/>
    </row>
    <row r="10" spans="1:9" s="154" customFormat="1" ht="12.75" x14ac:dyDescent="0.2">
      <c r="A10" s="156"/>
      <c r="B10" s="156"/>
      <c r="C10" s="156"/>
      <c r="D10" s="156"/>
      <c r="E10" s="156"/>
      <c r="F10" s="156"/>
      <c r="G10" s="156"/>
      <c r="H10" s="156"/>
      <c r="I10" s="156"/>
    </row>
    <row r="11" spans="1:9" s="154" customFormat="1" ht="15" x14ac:dyDescent="0.25">
      <c r="A11" s="308" t="s">
        <v>159</v>
      </c>
      <c r="B11" s="308"/>
      <c r="C11" s="308"/>
      <c r="D11" s="308"/>
      <c r="E11" s="308"/>
      <c r="F11" s="308"/>
      <c r="G11" s="308"/>
      <c r="H11" s="308"/>
      <c r="I11" s="308"/>
    </row>
    <row r="12" spans="1:9" s="157" customFormat="1" ht="23.25" customHeight="1" x14ac:dyDescent="0.25">
      <c r="A12" s="308" t="s">
        <v>131</v>
      </c>
      <c r="B12" s="308"/>
      <c r="C12" s="308"/>
      <c r="D12" s="308"/>
      <c r="E12" s="308"/>
      <c r="F12" s="308"/>
      <c r="G12" s="308"/>
      <c r="H12" s="308"/>
      <c r="I12" s="308"/>
    </row>
    <row r="13" spans="1:9" s="154" customFormat="1" ht="12.75" x14ac:dyDescent="0.2"/>
    <row r="14" spans="1:9" s="154" customFormat="1" ht="12.75" x14ac:dyDescent="0.2">
      <c r="B14" s="154" t="s">
        <v>132</v>
      </c>
    </row>
    <row r="15" spans="1:9" s="154" customFormat="1" ht="12.75" x14ac:dyDescent="0.2">
      <c r="B15" s="154" t="s">
        <v>133</v>
      </c>
    </row>
    <row r="16" spans="1:9" s="154" customFormat="1" ht="12.75" x14ac:dyDescent="0.2"/>
    <row r="17" spans="2:2" s="154" customFormat="1" ht="12.75" x14ac:dyDescent="0.2">
      <c r="B17" s="154" t="s">
        <v>134</v>
      </c>
    </row>
    <row r="18" spans="2:2" s="154" customFormat="1" ht="12.75" x14ac:dyDescent="0.2">
      <c r="B18" s="154" t="s">
        <v>135</v>
      </c>
    </row>
    <row r="20" spans="2:2" x14ac:dyDescent="0.25">
      <c r="B20" s="303" t="s">
        <v>155</v>
      </c>
    </row>
    <row r="21" spans="2:2" x14ac:dyDescent="0.25">
      <c r="B21" s="303" t="s">
        <v>156</v>
      </c>
    </row>
    <row r="22" spans="2:2" ht="20.25" customHeight="1" x14ac:dyDescent="0.25">
      <c r="B22" s="304" t="s">
        <v>148</v>
      </c>
    </row>
    <row r="23" spans="2:2" x14ac:dyDescent="0.25">
      <c r="B23" s="305" t="s">
        <v>149</v>
      </c>
    </row>
    <row r="24" spans="2:2" ht="20.25" customHeight="1" x14ac:dyDescent="0.25">
      <c r="B24" s="304" t="s">
        <v>150</v>
      </c>
    </row>
    <row r="25" spans="2:2" x14ac:dyDescent="0.25">
      <c r="B25" s="305" t="s">
        <v>151</v>
      </c>
    </row>
    <row r="26" spans="2:2" x14ac:dyDescent="0.25">
      <c r="B26" s="305" t="s">
        <v>152</v>
      </c>
    </row>
    <row r="27" spans="2:2" x14ac:dyDescent="0.25">
      <c r="B27" s="305" t="s">
        <v>153</v>
      </c>
    </row>
    <row r="28" spans="2:2" ht="23.25" customHeight="1" x14ac:dyDescent="0.25">
      <c r="B28" s="306" t="s">
        <v>154</v>
      </c>
    </row>
  </sheetData>
  <mergeCells count="10">
    <mergeCell ref="A8:I8"/>
    <mergeCell ref="A9:I9"/>
    <mergeCell ref="A11:I11"/>
    <mergeCell ref="A12:I12"/>
    <mergeCell ref="A1:I1"/>
    <mergeCell ref="A2:I2"/>
    <mergeCell ref="A3:I3"/>
    <mergeCell ref="A4:I4"/>
    <mergeCell ref="A5:I5"/>
    <mergeCell ref="A7:I7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&amp;L&amp;10Mařík, M. a kol.: Metody oceňování podniku pro pokročilé
Ekopress 2023&amp;R&amp;10Příklad: Amortizační hodnota</oddHeader>
    <oddFooter>&amp;C&amp;10Str. &amp;P&amp;R&amp;10©  Miloš Mařík, Pavla Maříková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showGridLines="0" workbookViewId="0"/>
  </sheetViews>
  <sheetFormatPr defaultRowHeight="15.75" x14ac:dyDescent="0.25"/>
  <cols>
    <col min="1" max="1" width="5" customWidth="1"/>
    <col min="2" max="2" width="5.25" customWidth="1"/>
    <col min="3" max="3" width="53" customWidth="1"/>
    <col min="4" max="4" width="4.375" customWidth="1"/>
    <col min="5" max="5" width="8.5" customWidth="1"/>
    <col min="6" max="6" width="6.625" customWidth="1"/>
  </cols>
  <sheetData>
    <row r="1" spans="1:6" ht="18.75" x14ac:dyDescent="0.3">
      <c r="A1" s="1" t="s">
        <v>23</v>
      </c>
    </row>
    <row r="2" spans="1:6" ht="9.75" customHeight="1" x14ac:dyDescent="0.3">
      <c r="A2" s="1"/>
    </row>
    <row r="3" spans="1:6" x14ac:dyDescent="0.25">
      <c r="B3" s="23"/>
      <c r="C3" s="23" t="s">
        <v>138</v>
      </c>
      <c r="E3">
        <v>1</v>
      </c>
    </row>
    <row r="4" spans="1:6" ht="12" customHeight="1" x14ac:dyDescent="0.3">
      <c r="A4" s="1"/>
    </row>
    <row r="5" spans="1:6" ht="20.25" x14ac:dyDescent="0.25">
      <c r="A5" s="19">
        <v>1</v>
      </c>
      <c r="B5" s="20" t="s">
        <v>104</v>
      </c>
      <c r="C5" s="20"/>
      <c r="D5" s="20"/>
      <c r="E5" s="20"/>
      <c r="F5" s="21"/>
    </row>
    <row r="6" spans="1:6" x14ac:dyDescent="0.25">
      <c r="A6" s="22"/>
      <c r="B6" s="23" t="s">
        <v>105</v>
      </c>
      <c r="C6" s="23"/>
      <c r="D6" s="23"/>
      <c r="E6" s="23"/>
      <c r="F6" s="24"/>
    </row>
    <row r="7" spans="1:6" x14ac:dyDescent="0.25">
      <c r="A7" s="22"/>
      <c r="B7" s="23" t="s">
        <v>106</v>
      </c>
      <c r="C7" s="23"/>
      <c r="D7" s="23"/>
      <c r="E7" s="23"/>
      <c r="F7" s="24"/>
    </row>
    <row r="8" spans="1:6" x14ac:dyDescent="0.25">
      <c r="A8" s="22"/>
      <c r="B8" s="23" t="s">
        <v>107</v>
      </c>
      <c r="C8" s="23"/>
      <c r="D8" s="23"/>
      <c r="E8" s="23"/>
      <c r="F8" s="24"/>
    </row>
    <row r="9" spans="1:6" x14ac:dyDescent="0.25">
      <c r="A9" s="27"/>
      <c r="B9" s="32" t="s">
        <v>24</v>
      </c>
      <c r="C9" s="29"/>
      <c r="D9" s="29"/>
      <c r="E9" s="29"/>
      <c r="F9" s="30"/>
    </row>
    <row r="10" spans="1:6" ht="18.75" customHeight="1" x14ac:dyDescent="0.25">
      <c r="A10" s="34">
        <v>2</v>
      </c>
      <c r="B10" s="123" t="s">
        <v>110</v>
      </c>
      <c r="C10" s="121"/>
      <c r="D10" s="121"/>
      <c r="E10" s="158">
        <v>0.9</v>
      </c>
      <c r="F10" s="24"/>
    </row>
    <row r="11" spans="1:6" ht="20.25" x14ac:dyDescent="0.25">
      <c r="A11" s="119">
        <v>3</v>
      </c>
      <c r="B11" s="120" t="s">
        <v>108</v>
      </c>
      <c r="C11" s="121"/>
      <c r="D11" s="121"/>
      <c r="E11" s="158">
        <v>0</v>
      </c>
      <c r="F11" s="122"/>
    </row>
    <row r="12" spans="1:6" ht="20.25" x14ac:dyDescent="0.25">
      <c r="A12" s="34">
        <v>4</v>
      </c>
      <c r="B12" s="23" t="s">
        <v>61</v>
      </c>
      <c r="C12" s="23"/>
      <c r="D12" s="23"/>
      <c r="E12" s="23"/>
      <c r="F12" s="24"/>
    </row>
    <row r="13" spans="1:6" ht="14.25" customHeight="1" x14ac:dyDescent="0.25">
      <c r="A13" s="22"/>
      <c r="B13" s="26" t="s">
        <v>25</v>
      </c>
      <c r="C13" s="23" t="s">
        <v>62</v>
      </c>
      <c r="D13" s="23"/>
      <c r="E13" s="159">
        <v>0.4</v>
      </c>
      <c r="F13" s="24"/>
    </row>
    <row r="14" spans="1:6" ht="14.25" customHeight="1" x14ac:dyDescent="0.25">
      <c r="A14" s="22"/>
      <c r="B14" s="26" t="s">
        <v>25</v>
      </c>
      <c r="C14" s="23" t="s">
        <v>63</v>
      </c>
      <c r="D14" s="23"/>
      <c r="E14" s="159">
        <v>0.03</v>
      </c>
      <c r="F14" s="24"/>
    </row>
    <row r="15" spans="1:6" ht="14.25" customHeight="1" x14ac:dyDescent="0.25">
      <c r="A15" s="22"/>
      <c r="B15" s="26" t="s">
        <v>25</v>
      </c>
      <c r="C15" s="23" t="s">
        <v>126</v>
      </c>
      <c r="D15" s="23"/>
      <c r="E15" s="159">
        <v>0.01</v>
      </c>
      <c r="F15" s="24"/>
    </row>
    <row r="16" spans="1:6" ht="14.25" customHeight="1" x14ac:dyDescent="0.25">
      <c r="A16" s="22"/>
      <c r="B16" s="26" t="s">
        <v>25</v>
      </c>
      <c r="C16" s="23" t="s">
        <v>125</v>
      </c>
      <c r="D16" s="23"/>
      <c r="E16" s="159">
        <v>0</v>
      </c>
      <c r="F16" s="24"/>
    </row>
    <row r="17" spans="1:6" ht="14.25" customHeight="1" x14ac:dyDescent="0.25">
      <c r="A17" s="27"/>
      <c r="B17" s="28" t="s">
        <v>25</v>
      </c>
      <c r="C17" s="29" t="s">
        <v>64</v>
      </c>
      <c r="D17" s="29"/>
      <c r="E17" s="160">
        <v>0.15</v>
      </c>
      <c r="F17" s="30"/>
    </row>
    <row r="18" spans="1:6" ht="20.25" x14ac:dyDescent="0.25">
      <c r="A18" s="34">
        <v>5</v>
      </c>
      <c r="B18" s="25" t="s">
        <v>26</v>
      </c>
      <c r="C18" s="23"/>
      <c r="D18" s="23"/>
      <c r="E18" s="23"/>
      <c r="F18" s="24"/>
    </row>
    <row r="19" spans="1:6" ht="18" x14ac:dyDescent="0.25">
      <c r="A19" s="22"/>
      <c r="B19" s="78" t="s">
        <v>25</v>
      </c>
      <c r="C19" s="79" t="s">
        <v>59</v>
      </c>
      <c r="D19" s="79"/>
      <c r="E19" s="159">
        <v>0.35</v>
      </c>
      <c r="F19" s="24"/>
    </row>
    <row r="20" spans="1:6" ht="18" x14ac:dyDescent="0.25">
      <c r="A20" s="22"/>
      <c r="B20" s="78" t="s">
        <v>25</v>
      </c>
      <c r="C20" s="79" t="s">
        <v>27</v>
      </c>
      <c r="D20" s="79"/>
      <c r="E20" s="159">
        <v>0.12</v>
      </c>
      <c r="F20" s="24"/>
    </row>
    <row r="21" spans="1:6" ht="18" x14ac:dyDescent="0.25">
      <c r="A21" s="27"/>
      <c r="B21" s="80" t="s">
        <v>25</v>
      </c>
      <c r="C21" s="81" t="s">
        <v>60</v>
      </c>
      <c r="D21" s="81"/>
      <c r="E21" s="160">
        <v>0.28000000000000003</v>
      </c>
      <c r="F21" s="30"/>
    </row>
    <row r="22" spans="1:6" ht="20.25" x14ac:dyDescent="0.25">
      <c r="A22" s="34">
        <v>6</v>
      </c>
      <c r="B22" s="25" t="s">
        <v>53</v>
      </c>
      <c r="C22" s="79"/>
      <c r="D22" s="79"/>
      <c r="E22" s="35"/>
      <c r="F22" s="24"/>
    </row>
    <row r="23" spans="1:6" ht="18" x14ac:dyDescent="0.25">
      <c r="A23" s="22"/>
      <c r="B23" s="78" t="s">
        <v>25</v>
      </c>
      <c r="C23" s="79" t="s">
        <v>109</v>
      </c>
      <c r="D23" s="79"/>
      <c r="E23" s="35"/>
      <c r="F23" s="24"/>
    </row>
    <row r="24" spans="1:6" ht="18" x14ac:dyDescent="0.25">
      <c r="A24" s="22"/>
      <c r="B24" s="78" t="s">
        <v>25</v>
      </c>
      <c r="C24" s="79" t="s">
        <v>54</v>
      </c>
      <c r="D24" s="79"/>
      <c r="E24" s="35"/>
      <c r="F24" s="24"/>
    </row>
    <row r="25" spans="1:6" ht="18" x14ac:dyDescent="0.25">
      <c r="A25" s="22"/>
      <c r="B25" s="78" t="s">
        <v>25</v>
      </c>
      <c r="C25" s="84" t="s">
        <v>55</v>
      </c>
      <c r="D25" s="79"/>
      <c r="E25" s="161">
        <v>3000</v>
      </c>
      <c r="F25" s="24" t="s">
        <v>56</v>
      </c>
    </row>
    <row r="26" spans="1:6" ht="15" customHeight="1" x14ac:dyDescent="0.25">
      <c r="A26" s="22"/>
      <c r="B26" s="78" t="s">
        <v>25</v>
      </c>
      <c r="C26" s="79" t="s">
        <v>57</v>
      </c>
      <c r="D26" s="79"/>
      <c r="E26" s="82"/>
      <c r="F26" s="24"/>
    </row>
    <row r="27" spans="1:6" ht="18" x14ac:dyDescent="0.25">
      <c r="A27" s="27"/>
      <c r="B27" s="80"/>
      <c r="C27" s="81" t="s">
        <v>58</v>
      </c>
      <c r="D27" s="81"/>
      <c r="E27" s="83"/>
      <c r="F27" s="30"/>
    </row>
    <row r="28" spans="1:6" ht="20.25" x14ac:dyDescent="0.25">
      <c r="A28" s="34">
        <v>7</v>
      </c>
      <c r="B28" s="67" t="s">
        <v>28</v>
      </c>
      <c r="C28" s="23"/>
      <c r="D28" s="23"/>
      <c r="E28" s="35"/>
      <c r="F28" s="24"/>
    </row>
    <row r="29" spans="1:6" ht="18" x14ac:dyDescent="0.25">
      <c r="A29" s="22"/>
      <c r="B29" s="26" t="s">
        <v>25</v>
      </c>
      <c r="C29" s="23" t="s">
        <v>29</v>
      </c>
      <c r="D29" s="23"/>
      <c r="E29" s="35"/>
      <c r="F29" s="24"/>
    </row>
    <row r="30" spans="1:6" ht="18" x14ac:dyDescent="0.25">
      <c r="A30" s="22"/>
      <c r="B30" s="26" t="s">
        <v>25</v>
      </c>
      <c r="C30" s="23" t="s">
        <v>111</v>
      </c>
      <c r="D30" s="23"/>
      <c r="E30" s="162">
        <v>500</v>
      </c>
      <c r="F30" s="24" t="s">
        <v>56</v>
      </c>
    </row>
    <row r="31" spans="1:6" ht="18" x14ac:dyDescent="0.25">
      <c r="A31" s="27"/>
      <c r="B31" s="28" t="s">
        <v>25</v>
      </c>
      <c r="C31" s="29" t="s">
        <v>112</v>
      </c>
      <c r="D31" s="29"/>
      <c r="E31" s="33"/>
      <c r="F31" s="30"/>
    </row>
    <row r="32" spans="1:6" ht="20.25" x14ac:dyDescent="0.25">
      <c r="A32" s="34">
        <v>8</v>
      </c>
      <c r="B32" s="25" t="s">
        <v>30</v>
      </c>
      <c r="C32" s="23"/>
      <c r="D32" s="23"/>
      <c r="E32" s="23"/>
      <c r="F32" s="24"/>
    </row>
    <row r="33" spans="1:6" ht="15" customHeight="1" x14ac:dyDescent="0.25">
      <c r="A33" s="22"/>
      <c r="B33" s="26" t="s">
        <v>25</v>
      </c>
      <c r="C33" s="23" t="s">
        <v>31</v>
      </c>
      <c r="D33" s="23"/>
      <c r="E33" s="159">
        <v>1.1000000000000001</v>
      </c>
      <c r="F33" s="24"/>
    </row>
    <row r="34" spans="1:6" ht="15" customHeight="1" x14ac:dyDescent="0.25">
      <c r="A34" s="22"/>
      <c r="B34" s="26" t="s">
        <v>25</v>
      </c>
      <c r="C34" s="23" t="s">
        <v>32</v>
      </c>
      <c r="D34" s="23"/>
      <c r="E34" s="159">
        <v>0.7</v>
      </c>
      <c r="F34" s="24"/>
    </row>
    <row r="35" spans="1:6" ht="15" customHeight="1" x14ac:dyDescent="0.25">
      <c r="A35" s="22"/>
      <c r="B35" s="26" t="s">
        <v>25</v>
      </c>
      <c r="C35" s="23" t="s">
        <v>33</v>
      </c>
      <c r="D35" s="23"/>
      <c r="E35" s="159">
        <v>0.2</v>
      </c>
      <c r="F35" s="24"/>
    </row>
    <row r="36" spans="1:6" ht="15" customHeight="1" x14ac:dyDescent="0.25">
      <c r="A36" s="22"/>
      <c r="B36" s="26" t="s">
        <v>25</v>
      </c>
      <c r="C36" s="23" t="s">
        <v>59</v>
      </c>
      <c r="D36" s="23"/>
      <c r="E36" s="159">
        <v>0.8</v>
      </c>
      <c r="F36" s="24"/>
    </row>
    <row r="37" spans="1:6" ht="15" customHeight="1" x14ac:dyDescent="0.25">
      <c r="A37" s="27"/>
      <c r="B37" s="28" t="s">
        <v>25</v>
      </c>
      <c r="C37" s="29" t="s">
        <v>27</v>
      </c>
      <c r="D37" s="29"/>
      <c r="E37" s="160">
        <v>0.8</v>
      </c>
      <c r="F37" s="30"/>
    </row>
    <row r="38" spans="1:6" ht="20.25" x14ac:dyDescent="0.25">
      <c r="A38" s="19">
        <v>9</v>
      </c>
      <c r="B38" s="248" t="s">
        <v>139</v>
      </c>
      <c r="C38" s="249"/>
      <c r="D38" s="249"/>
      <c r="E38" s="249"/>
      <c r="F38" s="21"/>
    </row>
    <row r="39" spans="1:6" ht="20.25" x14ac:dyDescent="0.25">
      <c r="A39" s="34"/>
      <c r="B39" s="23" t="s">
        <v>123</v>
      </c>
      <c r="C39" s="23"/>
      <c r="D39" s="23"/>
      <c r="E39" s="159">
        <v>0.16</v>
      </c>
      <c r="F39" s="24"/>
    </row>
    <row r="40" spans="1:6" x14ac:dyDescent="0.25">
      <c r="A40" s="250"/>
      <c r="B40" s="23" t="s">
        <v>88</v>
      </c>
      <c r="E40" s="251">
        <v>0.06</v>
      </c>
      <c r="F40" s="98"/>
    </row>
    <row r="41" spans="1:6" ht="20.25" x14ac:dyDescent="0.25">
      <c r="A41" s="34"/>
      <c r="B41" s="23" t="s">
        <v>124</v>
      </c>
      <c r="C41" s="23"/>
      <c r="D41" s="23"/>
      <c r="E41" s="159">
        <v>0.6</v>
      </c>
      <c r="F41" s="24"/>
    </row>
    <row r="42" spans="1:6" ht="20.25" x14ac:dyDescent="0.25">
      <c r="A42" s="31"/>
      <c r="B42" s="29" t="s">
        <v>89</v>
      </c>
      <c r="C42" s="29"/>
      <c r="D42" s="29"/>
      <c r="E42" s="163">
        <f>E39*E41+E40*(1-E41)*(1-E43)</f>
        <v>0.1152</v>
      </c>
      <c r="F42" s="30"/>
    </row>
    <row r="43" spans="1:6" ht="20.25" x14ac:dyDescent="0.25">
      <c r="A43" s="31">
        <v>10</v>
      </c>
      <c r="B43" s="32" t="s">
        <v>34</v>
      </c>
      <c r="C43" s="29"/>
      <c r="D43" s="29"/>
      <c r="E43" s="160">
        <v>0.2</v>
      </c>
      <c r="F43" s="30"/>
    </row>
    <row r="46" spans="1:6" x14ac:dyDescent="0.25">
      <c r="E46" s="117"/>
    </row>
  </sheetData>
  <phoneticPr fontId="0" type="noConversion"/>
  <printOptions gridLinesSet="0"/>
  <pageMargins left="0.70866141732283472" right="0.70866141732283472" top="0.78740157480314965" bottom="0.78740157480314965" header="0.31496062992125984" footer="0.31496062992125984"/>
  <pageSetup paperSize="9" scale="99" orientation="portrait" r:id="rId1"/>
  <headerFooter>
    <oddHeader>&amp;L&amp;10Mařík, M. a kol.: Metody oceňování podniku pro pokročilé
Ekopress 2023&amp;R&amp;10Příklad: Amortizační hodnota</oddHeader>
    <oddFooter>&amp;C&amp;10Str. &amp;P&amp;R&amp;10©  Miloš Mařík, Pavla Maříková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2"/>
  <sheetViews>
    <sheetView showGridLines="0" workbookViewId="0"/>
  </sheetViews>
  <sheetFormatPr defaultRowHeight="15.75" x14ac:dyDescent="0.25"/>
  <cols>
    <col min="1" max="1" width="21.625" customWidth="1"/>
    <col min="2" max="10" width="6.75" customWidth="1"/>
    <col min="11" max="11" width="0.875" customWidth="1"/>
  </cols>
  <sheetData>
    <row r="1" spans="1:11" ht="18.75" x14ac:dyDescent="0.3">
      <c r="A1" s="1" t="s">
        <v>140</v>
      </c>
    </row>
    <row r="2" spans="1:11" ht="18.75" x14ac:dyDescent="0.3">
      <c r="A2" s="1"/>
    </row>
    <row r="3" spans="1:11" ht="17.25" thickBot="1" x14ac:dyDescent="0.3">
      <c r="A3" s="36" t="s">
        <v>35</v>
      </c>
    </row>
    <row r="4" spans="1:11" ht="16.5" thickBot="1" x14ac:dyDescent="0.3">
      <c r="A4" s="187"/>
      <c r="B4" s="186">
        <f>rok-1</f>
        <v>0</v>
      </c>
      <c r="C4" s="178">
        <f>B4+1</f>
        <v>1</v>
      </c>
      <c r="D4" s="178">
        <f t="shared" ref="D4:J4" si="0">C4+1</f>
        <v>2</v>
      </c>
      <c r="E4" s="178">
        <f t="shared" si="0"/>
        <v>3</v>
      </c>
      <c r="F4" s="178">
        <f t="shared" si="0"/>
        <v>4</v>
      </c>
      <c r="G4" s="178">
        <f t="shared" si="0"/>
        <v>5</v>
      </c>
      <c r="H4" s="178">
        <f t="shared" si="0"/>
        <v>6</v>
      </c>
      <c r="I4" s="178">
        <f t="shared" si="0"/>
        <v>7</v>
      </c>
      <c r="J4" s="178">
        <f t="shared" si="0"/>
        <v>8</v>
      </c>
      <c r="K4" s="11"/>
    </row>
    <row r="5" spans="1:11" x14ac:dyDescent="0.25">
      <c r="A5" s="12" t="s">
        <v>0</v>
      </c>
      <c r="B5" s="164">
        <v>22000</v>
      </c>
      <c r="C5" s="37">
        <f>B5*(1+Předpoklady!$E$11)</f>
        <v>22000</v>
      </c>
      <c r="D5" s="37">
        <f>C5*(1+Předpoklady!$E$11)</f>
        <v>22000</v>
      </c>
      <c r="E5" s="37">
        <f>D5*(1+Předpoklady!$E$11)</f>
        <v>22000</v>
      </c>
      <c r="F5" s="37">
        <f>E5</f>
        <v>22000</v>
      </c>
      <c r="G5" s="37">
        <f>F5</f>
        <v>22000</v>
      </c>
      <c r="H5" s="37">
        <f>G5</f>
        <v>22000</v>
      </c>
      <c r="I5" s="37">
        <f>H5</f>
        <v>22000</v>
      </c>
      <c r="J5" s="37">
        <f>I5</f>
        <v>22000</v>
      </c>
      <c r="K5" s="11"/>
    </row>
    <row r="6" spans="1:11" x14ac:dyDescent="0.25">
      <c r="A6" s="13" t="s">
        <v>36</v>
      </c>
      <c r="B6" s="55">
        <f>SUM(B7:B11)</f>
        <v>18500</v>
      </c>
      <c r="C6" s="40">
        <f>SUM(C7:C11)</f>
        <v>19054</v>
      </c>
      <c r="D6" s="40">
        <f t="shared" ref="D6:J6" si="1">SUM(D7:D11)</f>
        <v>19328.900000000001</v>
      </c>
      <c r="E6" s="40">
        <f t="shared" si="1"/>
        <v>19627.475800000004</v>
      </c>
      <c r="F6" s="40">
        <f t="shared" si="1"/>
        <v>19952.910361999999</v>
      </c>
      <c r="G6" s="40">
        <f t="shared" si="1"/>
        <v>20308.854623740001</v>
      </c>
      <c r="H6" s="40">
        <f t="shared" si="1"/>
        <v>20699.497426841004</v>
      </c>
      <c r="I6" s="40">
        <f t="shared" si="1"/>
        <v>21129.645926278918</v>
      </c>
      <c r="J6" s="40">
        <f t="shared" si="1"/>
        <v>21604.818053156301</v>
      </c>
      <c r="K6" s="11"/>
    </row>
    <row r="7" spans="1:11" x14ac:dyDescent="0.25">
      <c r="A7" s="7" t="s">
        <v>1</v>
      </c>
      <c r="B7" s="165">
        <v>8500</v>
      </c>
      <c r="C7" s="38">
        <f>C5*Předpoklady!$E$13</f>
        <v>8800</v>
      </c>
      <c r="D7" s="38">
        <f>D5*Předpoklady!$E$13</f>
        <v>8800</v>
      </c>
      <c r="E7" s="38">
        <f>E5*Předpoklady!$E$13</f>
        <v>8800</v>
      </c>
      <c r="F7" s="38">
        <f>F5*Předpoklady!$E$13</f>
        <v>8800</v>
      </c>
      <c r="G7" s="38">
        <f>G5*Předpoklady!$E$13</f>
        <v>8800</v>
      </c>
      <c r="H7" s="38">
        <f>H5*Předpoklady!$E$13</f>
        <v>8800</v>
      </c>
      <c r="I7" s="38">
        <f>I5*Předpoklady!$E$13</f>
        <v>8800</v>
      </c>
      <c r="J7" s="38">
        <f>J5*Předpoklady!$E$13</f>
        <v>8800</v>
      </c>
      <c r="K7" s="11"/>
    </row>
    <row r="8" spans="1:11" x14ac:dyDescent="0.25">
      <c r="A8" s="7" t="s">
        <v>2</v>
      </c>
      <c r="B8" s="165">
        <v>2600</v>
      </c>
      <c r="C8" s="38">
        <f>B8*(1+Předpoklady!$E14)</f>
        <v>2678</v>
      </c>
      <c r="D8" s="38">
        <f>C8*(1+Předpoklady!$E14)</f>
        <v>2758.34</v>
      </c>
      <c r="E8" s="38">
        <f>D8*(1+Předpoklady!$E14)</f>
        <v>2841.0902000000001</v>
      </c>
      <c r="F8" s="38">
        <f>E8*(1+Předpoklady!$E14)</f>
        <v>2926.3229060000003</v>
      </c>
      <c r="G8" s="38">
        <f>F8*(1+Předpoklady!$E14)</f>
        <v>3014.1125931800002</v>
      </c>
      <c r="H8" s="38">
        <f>G8*(1+Předpoklady!$E14)</f>
        <v>3104.5359709754002</v>
      </c>
      <c r="I8" s="38">
        <f>H8*(1+Předpoklady!$E14)</f>
        <v>3197.6720501046625</v>
      </c>
      <c r="J8" s="38">
        <f>I8*(1+Předpoklady!$E14)</f>
        <v>3293.6022116078025</v>
      </c>
      <c r="K8" s="11"/>
    </row>
    <row r="9" spans="1:11" x14ac:dyDescent="0.25">
      <c r="A9" s="7" t="s">
        <v>3</v>
      </c>
      <c r="B9" s="165">
        <v>5600</v>
      </c>
      <c r="C9" s="38">
        <f>B9*(1+Předpoklady!$E15)</f>
        <v>5656</v>
      </c>
      <c r="D9" s="38">
        <f>C9*(1+Předpoklady!$E15)</f>
        <v>5712.56</v>
      </c>
      <c r="E9" s="38">
        <f>D9*(1+Předpoklady!$E15)</f>
        <v>5769.6856000000007</v>
      </c>
      <c r="F9" s="38">
        <f>E9*(1+Předpoklady!$E15)</f>
        <v>5827.3824560000012</v>
      </c>
      <c r="G9" s="38">
        <f>F9*(1+Předpoklady!$E15)</f>
        <v>5885.6562805600015</v>
      </c>
      <c r="H9" s="38">
        <f>G9*(1+Předpoklady!$E15)</f>
        <v>5944.5128433656018</v>
      </c>
      <c r="I9" s="38">
        <f>H9*(1+Předpoklady!$E15)</f>
        <v>6003.9579717992583</v>
      </c>
      <c r="J9" s="38">
        <f>I9*(1+Předpoklady!$E15)</f>
        <v>6063.9975515172509</v>
      </c>
      <c r="K9" s="11"/>
    </row>
    <row r="10" spans="1:11" x14ac:dyDescent="0.25">
      <c r="A10" s="7" t="s">
        <v>4</v>
      </c>
      <c r="B10" s="165">
        <v>1000</v>
      </c>
      <c r="C10" s="38">
        <f>B10*(1+Předpoklady!$E16)</f>
        <v>1000</v>
      </c>
      <c r="D10" s="38">
        <f>C10*(1+Předpoklady!$E16)</f>
        <v>1000</v>
      </c>
      <c r="E10" s="38">
        <f>D10*(1+Předpoklady!$E16)</f>
        <v>1000</v>
      </c>
      <c r="F10" s="38">
        <f>E10*(1+Předpoklady!$E16)</f>
        <v>1000</v>
      </c>
      <c r="G10" s="38">
        <f>F10*(1+Předpoklady!$E16)</f>
        <v>1000</v>
      </c>
      <c r="H10" s="38">
        <f>G10*(1+Předpoklady!$E16)</f>
        <v>1000</v>
      </c>
      <c r="I10" s="38">
        <f>H10*(1+Předpoklady!$E16)</f>
        <v>1000</v>
      </c>
      <c r="J10" s="38">
        <f>I10*(1+Předpoklady!$E16)</f>
        <v>1000</v>
      </c>
      <c r="K10" s="11"/>
    </row>
    <row r="11" spans="1:11" ht="16.5" thickBot="1" x14ac:dyDescent="0.3">
      <c r="A11" s="7" t="s">
        <v>5</v>
      </c>
      <c r="B11" s="165">
        <v>800</v>
      </c>
      <c r="C11" s="38">
        <f>B11*(1+Předpoklady!$E17)</f>
        <v>919.99999999999989</v>
      </c>
      <c r="D11" s="38">
        <f>C11*(1+Předpoklady!$E17)</f>
        <v>1057.9999999999998</v>
      </c>
      <c r="E11" s="38">
        <f>D11*(1+Předpoklady!$E17)</f>
        <v>1216.6999999999996</v>
      </c>
      <c r="F11" s="38">
        <f>E11*(1+Předpoklady!$E17)</f>
        <v>1399.2049999999995</v>
      </c>
      <c r="G11" s="38">
        <f>F11*(1+Předpoklady!$E17)</f>
        <v>1609.0857499999993</v>
      </c>
      <c r="H11" s="38">
        <f>G11*(1+Předpoklady!$E17)</f>
        <v>1850.4486124999989</v>
      </c>
      <c r="I11" s="38">
        <f>H11*(1+Předpoklady!$E17)</f>
        <v>2128.0159043749986</v>
      </c>
      <c r="J11" s="38">
        <f>I11*(1+Předpoklady!$E17)</f>
        <v>2447.2182900312482</v>
      </c>
      <c r="K11" s="11"/>
    </row>
    <row r="12" spans="1:11" x14ac:dyDescent="0.25">
      <c r="A12" s="15" t="s">
        <v>6</v>
      </c>
      <c r="B12" s="56">
        <f t="shared" ref="B12:J12" si="2">B5-B6</f>
        <v>3500</v>
      </c>
      <c r="C12" s="41">
        <f t="shared" si="2"/>
        <v>2946</v>
      </c>
      <c r="D12" s="41">
        <f t="shared" si="2"/>
        <v>2671.0999999999985</v>
      </c>
      <c r="E12" s="41">
        <f t="shared" si="2"/>
        <v>2372.5241999999962</v>
      </c>
      <c r="F12" s="41">
        <f t="shared" si="2"/>
        <v>2047.0896380000013</v>
      </c>
      <c r="G12" s="41">
        <f t="shared" si="2"/>
        <v>1691.1453762599995</v>
      </c>
      <c r="H12" s="41">
        <f t="shared" si="2"/>
        <v>1300.5025731589958</v>
      </c>
      <c r="I12" s="41">
        <f t="shared" si="2"/>
        <v>870.35407372108239</v>
      </c>
      <c r="J12" s="41">
        <f t="shared" si="2"/>
        <v>395.18194684369882</v>
      </c>
      <c r="K12" s="11"/>
    </row>
    <row r="13" spans="1:11" ht="16.5" thickBot="1" x14ac:dyDescent="0.3">
      <c r="A13" s="8" t="str">
        <f>"Placené úroky ("&amp;FIXED(Předpoklady!$E$40*100,0,1)&amp;"%)"</f>
        <v>Placené úroky (6%)</v>
      </c>
      <c r="B13" s="166">
        <v>420</v>
      </c>
      <c r="C13" s="39">
        <f>Předpoklady!$E$40*Plán!B42</f>
        <v>420</v>
      </c>
      <c r="D13" s="39">
        <f>Předpoklady!$E$40*Plán!C42</f>
        <v>420</v>
      </c>
      <c r="E13" s="39">
        <f>Předpoklady!$E$40*Plán!D42</f>
        <v>420</v>
      </c>
      <c r="F13" s="39">
        <f>Předpoklady!$E$40*Plán!E42</f>
        <v>420</v>
      </c>
      <c r="G13" s="39">
        <f>Předpoklady!$E$40*Plán!F42</f>
        <v>420</v>
      </c>
      <c r="H13" s="39">
        <f>Předpoklady!$E$40*Plán!G42</f>
        <v>420</v>
      </c>
      <c r="I13" s="39">
        <f>Předpoklady!$E$40*Plán!H42</f>
        <v>360</v>
      </c>
      <c r="J13" s="39">
        <f>Předpoklady!$E$40*Plán!I42</f>
        <v>300</v>
      </c>
      <c r="K13" s="11"/>
    </row>
    <row r="14" spans="1:11" x14ac:dyDescent="0.25">
      <c r="A14" s="16" t="s">
        <v>7</v>
      </c>
      <c r="B14" s="57">
        <f>B12-B13</f>
        <v>3080</v>
      </c>
      <c r="C14" s="42">
        <f>C12-C13</f>
        <v>2526</v>
      </c>
      <c r="D14" s="42">
        <f t="shared" ref="D14:J14" si="3">D12-D13</f>
        <v>2251.0999999999985</v>
      </c>
      <c r="E14" s="42">
        <f t="shared" si="3"/>
        <v>1952.5241999999962</v>
      </c>
      <c r="F14" s="42">
        <f t="shared" si="3"/>
        <v>1627.0896380000013</v>
      </c>
      <c r="G14" s="42">
        <f t="shared" si="3"/>
        <v>1271.1453762599995</v>
      </c>
      <c r="H14" s="42">
        <f t="shared" si="3"/>
        <v>880.5025731589958</v>
      </c>
      <c r="I14" s="42">
        <f t="shared" si="3"/>
        <v>510.35407372108239</v>
      </c>
      <c r="J14" s="42">
        <f t="shared" si="3"/>
        <v>95.181946843698825</v>
      </c>
      <c r="K14" s="11"/>
    </row>
    <row r="15" spans="1:11" ht="16.5" thickBot="1" x14ac:dyDescent="0.3">
      <c r="A15" s="8" t="s">
        <v>37</v>
      </c>
      <c r="B15" s="166">
        <v>616</v>
      </c>
      <c r="C15" s="39">
        <f>IF(C14&gt;0,Předpoklady!$E$43*Plán!C14,0)</f>
        <v>505.20000000000005</v>
      </c>
      <c r="D15" s="39">
        <f>IF(D14&gt;0,Předpoklady!$E$43*Plán!D14,0)</f>
        <v>450.21999999999974</v>
      </c>
      <c r="E15" s="39">
        <f>IF(E14&gt;0,Předpoklady!$E$43*Plán!E14,0)</f>
        <v>390.50483999999926</v>
      </c>
      <c r="F15" s="39">
        <f>IF(F14&gt;0,Předpoklady!$E$43*Plán!F14,0)</f>
        <v>325.41792760000027</v>
      </c>
      <c r="G15" s="39">
        <f>IF(G14&gt;0,Předpoklady!$E$43*Plán!G14,0)</f>
        <v>254.22907525199992</v>
      </c>
      <c r="H15" s="39">
        <f>IF(H14&gt;0,Předpoklady!$E$43*Plán!H14,0)</f>
        <v>176.10051463179917</v>
      </c>
      <c r="I15" s="39">
        <f>IF(I14&gt;0,Předpoklady!$E$43*Plán!I14,0)</f>
        <v>102.07081474421648</v>
      </c>
      <c r="J15" s="39">
        <f>IF(J14&gt;0,Předpoklady!$E$43*Plán!J14,0)</f>
        <v>19.036389368739766</v>
      </c>
      <c r="K15" s="11"/>
    </row>
    <row r="16" spans="1:11" ht="16.5" thickBot="1" x14ac:dyDescent="0.3">
      <c r="A16" s="14" t="s">
        <v>8</v>
      </c>
      <c r="B16" s="58">
        <f>B14-B15</f>
        <v>2464</v>
      </c>
      <c r="C16" s="43">
        <f>C14-C15</f>
        <v>2020.8</v>
      </c>
      <c r="D16" s="43">
        <f t="shared" ref="D16:J16" si="4">D14-D15</f>
        <v>1800.8799999999987</v>
      </c>
      <c r="E16" s="43">
        <f t="shared" si="4"/>
        <v>1562.0193599999971</v>
      </c>
      <c r="F16" s="43">
        <f t="shared" si="4"/>
        <v>1301.6717104000011</v>
      </c>
      <c r="G16" s="43">
        <f t="shared" si="4"/>
        <v>1016.9163010079996</v>
      </c>
      <c r="H16" s="43">
        <f t="shared" si="4"/>
        <v>704.40205852719669</v>
      </c>
      <c r="I16" s="43">
        <f t="shared" si="4"/>
        <v>408.28325897686591</v>
      </c>
      <c r="J16" s="43">
        <f t="shared" si="4"/>
        <v>76.145557474959062</v>
      </c>
      <c r="K16" s="11"/>
    </row>
    <row r="17" spans="1:12" ht="31.5" thickBot="1" x14ac:dyDescent="0.3">
      <c r="A17" s="69" t="s">
        <v>38</v>
      </c>
      <c r="B17" s="167">
        <v>2217.6</v>
      </c>
      <c r="C17" s="70">
        <f>IF(C16&gt;0,C16*Předpoklady!$E$10,0)</f>
        <v>1818.72</v>
      </c>
      <c r="D17" s="70">
        <f>IF(D16&gt;0,D16*Předpoklady!$E$10,0)</f>
        <v>1620.791999999999</v>
      </c>
      <c r="E17" s="70">
        <f>IF(E16&gt;0,E16*Předpoklady!$E$10,0)</f>
        <v>1405.8174239999973</v>
      </c>
      <c r="F17" s="70">
        <f>IF(F16&gt;0,F16*Předpoklady!$E$10,0)</f>
        <v>1171.504539360001</v>
      </c>
      <c r="G17" s="70">
        <f>IF(G16&gt;0,G16*Předpoklady!$E$10,0)</f>
        <v>915.22467090719965</v>
      </c>
      <c r="H17" s="70">
        <f>IF(H16&gt;0,H16*Předpoklady!$E$10,0)</f>
        <v>633.96185267447709</v>
      </c>
      <c r="I17" s="70">
        <f>IF(I16&gt;0,I16*Předpoklady!$E$10,0)</f>
        <v>367.45493307917934</v>
      </c>
      <c r="J17" s="71">
        <f>IF(J16&gt;0,J16*Předpoklady!$E$10,0)</f>
        <v>68.531001727463163</v>
      </c>
    </row>
    <row r="18" spans="1:12" ht="22.5" customHeight="1" x14ac:dyDescent="0.25"/>
    <row r="19" spans="1:12" ht="13.5" customHeight="1" x14ac:dyDescent="0.25"/>
    <row r="20" spans="1:12" ht="17.25" thickBot="1" x14ac:dyDescent="0.3">
      <c r="A20" s="36" t="s">
        <v>39</v>
      </c>
    </row>
    <row r="21" spans="1:12" ht="16.5" thickBot="1" x14ac:dyDescent="0.3">
      <c r="A21" s="188" t="s">
        <v>9</v>
      </c>
      <c r="B21" s="186">
        <f>rok-1</f>
        <v>0</v>
      </c>
      <c r="C21" s="178">
        <f>B21+1</f>
        <v>1</v>
      </c>
      <c r="D21" s="178">
        <f t="shared" ref="D21:J21" si="5">C21+1</f>
        <v>2</v>
      </c>
      <c r="E21" s="178">
        <f t="shared" si="5"/>
        <v>3</v>
      </c>
      <c r="F21" s="178">
        <f t="shared" si="5"/>
        <v>4</v>
      </c>
      <c r="G21" s="178">
        <f t="shared" si="5"/>
        <v>5</v>
      </c>
      <c r="H21" s="178">
        <f t="shared" si="5"/>
        <v>6</v>
      </c>
      <c r="I21" s="178">
        <f t="shared" si="5"/>
        <v>7</v>
      </c>
      <c r="J21" s="179">
        <f t="shared" si="5"/>
        <v>8</v>
      </c>
      <c r="K21" s="11"/>
    </row>
    <row r="22" spans="1:12" ht="16.5" thickBot="1" x14ac:dyDescent="0.3">
      <c r="A22" s="5" t="s">
        <v>10</v>
      </c>
      <c r="B22" s="53">
        <f t="shared" ref="B22" si="6">B23+B28</f>
        <v>30264</v>
      </c>
      <c r="C22" s="49">
        <f t="shared" ref="C22:J22" si="7">C23+C28</f>
        <v>30027.200000000001</v>
      </c>
      <c r="D22" s="49">
        <f t="shared" si="7"/>
        <v>30009.359999999997</v>
      </c>
      <c r="E22" s="49">
        <f t="shared" si="7"/>
        <v>29950.587359999998</v>
      </c>
      <c r="F22" s="49">
        <f t="shared" si="7"/>
        <v>29846.441646399999</v>
      </c>
      <c r="G22" s="49">
        <f t="shared" si="7"/>
        <v>29691.853408047999</v>
      </c>
      <c r="H22" s="49">
        <f t="shared" si="7"/>
        <v>28481.030795667997</v>
      </c>
      <c r="I22" s="49">
        <f t="shared" si="7"/>
        <v>27255.352201970385</v>
      </c>
      <c r="J22" s="49">
        <f t="shared" si="7"/>
        <v>25964.042826366167</v>
      </c>
      <c r="K22" s="11"/>
    </row>
    <row r="23" spans="1:12" x14ac:dyDescent="0.25">
      <c r="A23" s="17" t="s">
        <v>40</v>
      </c>
      <c r="B23" s="50">
        <f t="shared" ref="B23:J23" si="8">B24</f>
        <v>15500</v>
      </c>
      <c r="C23" s="44">
        <f t="shared" si="8"/>
        <v>14500</v>
      </c>
      <c r="D23" s="44">
        <f t="shared" si="8"/>
        <v>13500</v>
      </c>
      <c r="E23" s="44">
        <f t="shared" si="8"/>
        <v>12500</v>
      </c>
      <c r="F23" s="44">
        <f t="shared" si="8"/>
        <v>11500</v>
      </c>
      <c r="G23" s="44">
        <f t="shared" si="8"/>
        <v>10500</v>
      </c>
      <c r="H23" s="44">
        <f t="shared" si="8"/>
        <v>9500</v>
      </c>
      <c r="I23" s="44">
        <f t="shared" si="8"/>
        <v>8500</v>
      </c>
      <c r="J23" s="44">
        <f t="shared" si="8"/>
        <v>7500</v>
      </c>
      <c r="K23" s="11"/>
    </row>
    <row r="24" spans="1:12" x14ac:dyDescent="0.25">
      <c r="A24" s="2" t="s">
        <v>41</v>
      </c>
      <c r="B24" s="51">
        <f>SUM(B25:B27)</f>
        <v>15500</v>
      </c>
      <c r="C24" s="45">
        <f>SUM(C25:C27)</f>
        <v>14500</v>
      </c>
      <c r="D24" s="45">
        <f t="shared" ref="D24:J24" si="9">SUM(D25:D27)</f>
        <v>13500</v>
      </c>
      <c r="E24" s="45">
        <f t="shared" si="9"/>
        <v>12500</v>
      </c>
      <c r="F24" s="45">
        <f t="shared" si="9"/>
        <v>11500</v>
      </c>
      <c r="G24" s="45">
        <f t="shared" si="9"/>
        <v>10500</v>
      </c>
      <c r="H24" s="45">
        <f t="shared" si="9"/>
        <v>9500</v>
      </c>
      <c r="I24" s="45">
        <f t="shared" si="9"/>
        <v>8500</v>
      </c>
      <c r="J24" s="45">
        <f t="shared" si="9"/>
        <v>7500</v>
      </c>
      <c r="K24" s="11"/>
    </row>
    <row r="25" spans="1:12" x14ac:dyDescent="0.25">
      <c r="A25" s="3" t="s">
        <v>11</v>
      </c>
      <c r="B25" s="168">
        <v>3000</v>
      </c>
      <c r="C25" s="46">
        <f t="shared" ref="C25:J25" si="10">B25</f>
        <v>3000</v>
      </c>
      <c r="D25" s="46">
        <f t="shared" si="10"/>
        <v>3000</v>
      </c>
      <c r="E25" s="46">
        <f t="shared" si="10"/>
        <v>3000</v>
      </c>
      <c r="F25" s="46">
        <f t="shared" si="10"/>
        <v>3000</v>
      </c>
      <c r="G25" s="46">
        <f t="shared" si="10"/>
        <v>3000</v>
      </c>
      <c r="H25" s="46">
        <f t="shared" si="10"/>
        <v>3000</v>
      </c>
      <c r="I25" s="46">
        <f t="shared" si="10"/>
        <v>3000</v>
      </c>
      <c r="J25" s="46">
        <f t="shared" si="10"/>
        <v>3000</v>
      </c>
      <c r="K25" s="11"/>
    </row>
    <row r="26" spans="1:12" x14ac:dyDescent="0.25">
      <c r="A26" s="3" t="s">
        <v>12</v>
      </c>
      <c r="B26" s="168">
        <v>8500</v>
      </c>
      <c r="C26" s="46">
        <f>B26-Předpoklady!$E$30</f>
        <v>8000</v>
      </c>
      <c r="D26" s="46">
        <f>C26-Předpoklady!$E$30</f>
        <v>7500</v>
      </c>
      <c r="E26" s="46">
        <f>D26-Předpoklady!$E$30</f>
        <v>7000</v>
      </c>
      <c r="F26" s="46">
        <f>E26-Předpoklady!$E$30</f>
        <v>6500</v>
      </c>
      <c r="G26" s="46">
        <f>F26-Předpoklady!$E$30</f>
        <v>6000</v>
      </c>
      <c r="H26" s="46">
        <f>G26-Předpoklady!$E$30</f>
        <v>5500</v>
      </c>
      <c r="I26" s="46">
        <f>H26-Předpoklady!$E$30</f>
        <v>5000</v>
      </c>
      <c r="J26" s="46">
        <f>I26-Předpoklady!$E$30</f>
        <v>4500</v>
      </c>
      <c r="K26" s="11"/>
    </row>
    <row r="27" spans="1:12" ht="16.5" thickBot="1" x14ac:dyDescent="0.3">
      <c r="A27" s="4" t="s">
        <v>42</v>
      </c>
      <c r="B27" s="169">
        <v>4000</v>
      </c>
      <c r="C27" s="46">
        <f>B27-Předpoklady!$E$30</f>
        <v>3500</v>
      </c>
      <c r="D27" s="46">
        <f>C27-Předpoklady!$E$30</f>
        <v>3000</v>
      </c>
      <c r="E27" s="46">
        <f>D27-Předpoklady!$E$30</f>
        <v>2500</v>
      </c>
      <c r="F27" s="46">
        <f>E27-Předpoklady!$E$30</f>
        <v>2000</v>
      </c>
      <c r="G27" s="46">
        <f>F27-Předpoklady!$E$30</f>
        <v>1500</v>
      </c>
      <c r="H27" s="46">
        <f>G27-Předpoklady!$E$30</f>
        <v>1000</v>
      </c>
      <c r="I27" s="46">
        <f>H27-Předpoklady!$E$30</f>
        <v>500</v>
      </c>
      <c r="J27" s="46">
        <f>I27-Předpoklady!$E$30</f>
        <v>0</v>
      </c>
      <c r="K27" s="11"/>
    </row>
    <row r="28" spans="1:12" x14ac:dyDescent="0.25">
      <c r="A28" s="18" t="s">
        <v>13</v>
      </c>
      <c r="B28" s="52">
        <f t="shared" ref="B28:J28" si="11">B29+B30+B31</f>
        <v>14764</v>
      </c>
      <c r="C28" s="47">
        <f t="shared" si="11"/>
        <v>15527.2</v>
      </c>
      <c r="D28" s="47">
        <f t="shared" si="11"/>
        <v>16509.359999999997</v>
      </c>
      <c r="E28" s="47">
        <f t="shared" si="11"/>
        <v>17450.587359999998</v>
      </c>
      <c r="F28" s="47">
        <f t="shared" si="11"/>
        <v>18346.441646399999</v>
      </c>
      <c r="G28" s="47">
        <f t="shared" si="11"/>
        <v>19191.853408047999</v>
      </c>
      <c r="H28" s="47">
        <f t="shared" si="11"/>
        <v>18981.030795667997</v>
      </c>
      <c r="I28" s="47">
        <f t="shared" si="11"/>
        <v>18755.352201970385</v>
      </c>
      <c r="J28" s="73">
        <f t="shared" si="11"/>
        <v>18464.042826366167</v>
      </c>
      <c r="K28" s="11"/>
    </row>
    <row r="29" spans="1:12" x14ac:dyDescent="0.25">
      <c r="A29" s="2" t="s">
        <v>14</v>
      </c>
      <c r="B29" s="170">
        <v>7800</v>
      </c>
      <c r="C29" s="45">
        <f>C5*Předpoklady!$E$19</f>
        <v>7699.9999999999991</v>
      </c>
      <c r="D29" s="45">
        <f>D5*Předpoklady!$E$19</f>
        <v>7699.9999999999991</v>
      </c>
      <c r="E29" s="45">
        <f>E5*Předpoklady!$E$19</f>
        <v>7699.9999999999991</v>
      </c>
      <c r="F29" s="45">
        <f>F5*Předpoklady!$E$19</f>
        <v>7699.9999999999991</v>
      </c>
      <c r="G29" s="45">
        <f>G5*Předpoklady!$E$19</f>
        <v>7699.9999999999991</v>
      </c>
      <c r="H29" s="45">
        <f>H5*Předpoklady!$E$19</f>
        <v>7699.9999999999991</v>
      </c>
      <c r="I29" s="45">
        <f>I5*Předpoklady!$E$19</f>
        <v>7699.9999999999991</v>
      </c>
      <c r="J29" s="74">
        <f>J5*Předpoklady!$E$19</f>
        <v>7699.9999999999991</v>
      </c>
      <c r="K29" s="11"/>
    </row>
    <row r="30" spans="1:12" x14ac:dyDescent="0.25">
      <c r="A30" s="59" t="s">
        <v>43</v>
      </c>
      <c r="B30" s="171">
        <v>2500</v>
      </c>
      <c r="C30" s="60">
        <f>C5*Předpoklady!$E$20</f>
        <v>2640</v>
      </c>
      <c r="D30" s="60">
        <f>D5*Předpoklady!$E$20</f>
        <v>2640</v>
      </c>
      <c r="E30" s="60">
        <f>E5*Předpoklady!$E$20</f>
        <v>2640</v>
      </c>
      <c r="F30" s="60">
        <f>F5*Předpoklady!$E$20</f>
        <v>2640</v>
      </c>
      <c r="G30" s="60">
        <f>G5*Předpoklady!$E$20</f>
        <v>2640</v>
      </c>
      <c r="H30" s="60">
        <f>H5*Předpoklady!$E$20</f>
        <v>2640</v>
      </c>
      <c r="I30" s="60">
        <f>I5*Předpoklady!$E$20</f>
        <v>2640</v>
      </c>
      <c r="J30" s="75">
        <f>J5*Předpoklady!$E$20</f>
        <v>2640</v>
      </c>
      <c r="K30" s="11"/>
      <c r="L30" s="68"/>
    </row>
    <row r="31" spans="1:12" ht="16.5" thickBot="1" x14ac:dyDescent="0.3">
      <c r="A31" s="72" t="s">
        <v>44</v>
      </c>
      <c r="B31" s="172">
        <v>4464</v>
      </c>
      <c r="C31" s="76">
        <f t="shared" ref="C31:J31" si="12">C34-C23-C29-C30</f>
        <v>5187.2000000000016</v>
      </c>
      <c r="D31" s="76">
        <f t="shared" si="12"/>
        <v>6169.3599999999969</v>
      </c>
      <c r="E31" s="76">
        <f t="shared" si="12"/>
        <v>7110.5873599999977</v>
      </c>
      <c r="F31" s="76">
        <f t="shared" si="12"/>
        <v>8006.4416463999987</v>
      </c>
      <c r="G31" s="76">
        <f t="shared" si="12"/>
        <v>8851.8534080479985</v>
      </c>
      <c r="H31" s="76">
        <f t="shared" si="12"/>
        <v>8641.0307956679972</v>
      </c>
      <c r="I31" s="76">
        <f t="shared" si="12"/>
        <v>8415.3522019703851</v>
      </c>
      <c r="J31" s="77">
        <f t="shared" si="12"/>
        <v>8124.042826366167</v>
      </c>
      <c r="K31" s="11"/>
      <c r="L31" s="68"/>
    </row>
    <row r="32" spans="1:12" ht="16.5" thickBot="1" x14ac:dyDescent="0.3"/>
    <row r="33" spans="1:11" ht="16.5" thickBot="1" x14ac:dyDescent="0.3">
      <c r="A33" s="188" t="s">
        <v>15</v>
      </c>
      <c r="B33" s="186">
        <f>rok-1</f>
        <v>0</v>
      </c>
      <c r="C33" s="178">
        <f>B33+1</f>
        <v>1</v>
      </c>
      <c r="D33" s="178">
        <f t="shared" ref="D33:J33" si="13">C33+1</f>
        <v>2</v>
      </c>
      <c r="E33" s="178">
        <f t="shared" si="13"/>
        <v>3</v>
      </c>
      <c r="F33" s="178">
        <f t="shared" si="13"/>
        <v>4</v>
      </c>
      <c r="G33" s="178">
        <f t="shared" si="13"/>
        <v>5</v>
      </c>
      <c r="H33" s="178">
        <f t="shared" si="13"/>
        <v>6</v>
      </c>
      <c r="I33" s="178">
        <f t="shared" si="13"/>
        <v>7</v>
      </c>
      <c r="J33" s="178">
        <f t="shared" si="13"/>
        <v>8</v>
      </c>
      <c r="K33" s="11"/>
    </row>
    <row r="34" spans="1:11" ht="16.5" thickBot="1" x14ac:dyDescent="0.3">
      <c r="A34" s="5" t="s">
        <v>16</v>
      </c>
      <c r="B34" s="53">
        <f t="shared" ref="B34" si="14">B35+B40</f>
        <v>30264</v>
      </c>
      <c r="C34" s="49">
        <f t="shared" ref="C34:J34" si="15">C35+C40</f>
        <v>30027.200000000001</v>
      </c>
      <c r="D34" s="49">
        <f t="shared" si="15"/>
        <v>30009.359999999997</v>
      </c>
      <c r="E34" s="49">
        <f t="shared" si="15"/>
        <v>29950.587359999998</v>
      </c>
      <c r="F34" s="49">
        <f t="shared" si="15"/>
        <v>29846.441646399999</v>
      </c>
      <c r="G34" s="49">
        <f t="shared" si="15"/>
        <v>29691.853408047999</v>
      </c>
      <c r="H34" s="49">
        <f t="shared" si="15"/>
        <v>28481.030795667997</v>
      </c>
      <c r="I34" s="49">
        <f t="shared" si="15"/>
        <v>27255.352201970385</v>
      </c>
      <c r="J34" s="49">
        <f t="shared" si="15"/>
        <v>25964.042826366167</v>
      </c>
      <c r="K34" s="11"/>
    </row>
    <row r="35" spans="1:11" x14ac:dyDescent="0.25">
      <c r="A35" s="18" t="s">
        <v>17</v>
      </c>
      <c r="B35" s="50">
        <f>SUM(B36:B39)</f>
        <v>17064</v>
      </c>
      <c r="C35" s="44">
        <f>SUM(C36:C39)</f>
        <v>16867.2</v>
      </c>
      <c r="D35" s="44">
        <f t="shared" ref="D35:J35" si="16">SUM(D36:D39)</f>
        <v>16849.359999999997</v>
      </c>
      <c r="E35" s="44">
        <f t="shared" si="16"/>
        <v>16790.587359999998</v>
      </c>
      <c r="F35" s="44">
        <f t="shared" si="16"/>
        <v>16686.441646399999</v>
      </c>
      <c r="G35" s="44">
        <f t="shared" si="16"/>
        <v>16531.853408047999</v>
      </c>
      <c r="H35" s="44">
        <f t="shared" si="16"/>
        <v>16321.030795667997</v>
      </c>
      <c r="I35" s="44">
        <f t="shared" si="16"/>
        <v>16095.352201970385</v>
      </c>
      <c r="J35" s="44">
        <f t="shared" si="16"/>
        <v>15804.042826366165</v>
      </c>
      <c r="K35" s="11"/>
    </row>
    <row r="36" spans="1:11" x14ac:dyDescent="0.25">
      <c r="A36" s="6" t="s">
        <v>18</v>
      </c>
      <c r="B36" s="173">
        <v>5000</v>
      </c>
      <c r="C36" s="48">
        <f t="shared" ref="C36:J37" si="17">B36</f>
        <v>5000</v>
      </c>
      <c r="D36" s="48">
        <f t="shared" si="17"/>
        <v>5000</v>
      </c>
      <c r="E36" s="48">
        <f t="shared" si="17"/>
        <v>5000</v>
      </c>
      <c r="F36" s="48">
        <f t="shared" si="17"/>
        <v>5000</v>
      </c>
      <c r="G36" s="48">
        <f t="shared" si="17"/>
        <v>5000</v>
      </c>
      <c r="H36" s="48">
        <f t="shared" si="17"/>
        <v>5000</v>
      </c>
      <c r="I36" s="48">
        <f t="shared" si="17"/>
        <v>5000</v>
      </c>
      <c r="J36" s="48">
        <f t="shared" si="17"/>
        <v>5000</v>
      </c>
      <c r="K36" s="11"/>
    </row>
    <row r="37" spans="1:11" x14ac:dyDescent="0.25">
      <c r="A37" s="6" t="s">
        <v>19</v>
      </c>
      <c r="B37" s="173">
        <v>1600</v>
      </c>
      <c r="C37" s="48">
        <f t="shared" si="17"/>
        <v>1600</v>
      </c>
      <c r="D37" s="48">
        <f t="shared" si="17"/>
        <v>1600</v>
      </c>
      <c r="E37" s="48">
        <f t="shared" si="17"/>
        <v>1600</v>
      </c>
      <c r="F37" s="48">
        <f t="shared" si="17"/>
        <v>1600</v>
      </c>
      <c r="G37" s="48">
        <f t="shared" si="17"/>
        <v>1600</v>
      </c>
      <c r="H37" s="48">
        <f t="shared" si="17"/>
        <v>1600</v>
      </c>
      <c r="I37" s="48">
        <f t="shared" si="17"/>
        <v>1600</v>
      </c>
      <c r="J37" s="48">
        <f t="shared" si="17"/>
        <v>1600</v>
      </c>
      <c r="K37" s="11"/>
    </row>
    <row r="38" spans="1:11" x14ac:dyDescent="0.25">
      <c r="A38" s="6" t="s">
        <v>45</v>
      </c>
      <c r="B38" s="173">
        <v>8000</v>
      </c>
      <c r="C38" s="48">
        <f t="shared" ref="C38:J38" si="18">B38+B39-B17</f>
        <v>8246.4</v>
      </c>
      <c r="D38" s="48">
        <f t="shared" si="18"/>
        <v>8448.48</v>
      </c>
      <c r="E38" s="48">
        <f t="shared" si="18"/>
        <v>8628.5679999999993</v>
      </c>
      <c r="F38" s="48">
        <f t="shared" si="18"/>
        <v>8784.7699359999988</v>
      </c>
      <c r="G38" s="48">
        <f t="shared" si="18"/>
        <v>8914.9371070399993</v>
      </c>
      <c r="H38" s="48">
        <f t="shared" si="18"/>
        <v>9016.6287371407998</v>
      </c>
      <c r="I38" s="48">
        <f t="shared" si="18"/>
        <v>9087.0689429935192</v>
      </c>
      <c r="J38" s="48">
        <f t="shared" si="18"/>
        <v>9127.8972688912054</v>
      </c>
      <c r="K38" s="11"/>
    </row>
    <row r="39" spans="1:11" ht="16.5" thickBot="1" x14ac:dyDescent="0.3">
      <c r="A39" s="2" t="s">
        <v>20</v>
      </c>
      <c r="B39" s="51">
        <f>B16</f>
        <v>2464</v>
      </c>
      <c r="C39" s="45">
        <f t="shared" ref="C39:J39" si="19">C16</f>
        <v>2020.8</v>
      </c>
      <c r="D39" s="45">
        <f t="shared" si="19"/>
        <v>1800.8799999999987</v>
      </c>
      <c r="E39" s="45">
        <f t="shared" si="19"/>
        <v>1562.0193599999971</v>
      </c>
      <c r="F39" s="45">
        <f t="shared" si="19"/>
        <v>1301.6717104000011</v>
      </c>
      <c r="G39" s="45">
        <f t="shared" si="19"/>
        <v>1016.9163010079996</v>
      </c>
      <c r="H39" s="45">
        <f t="shared" si="19"/>
        <v>704.40205852719669</v>
      </c>
      <c r="I39" s="45">
        <f t="shared" si="19"/>
        <v>408.28325897686591</v>
      </c>
      <c r="J39" s="45">
        <f t="shared" si="19"/>
        <v>76.145557474959062</v>
      </c>
      <c r="K39" s="11"/>
    </row>
    <row r="40" spans="1:11" x14ac:dyDescent="0.25">
      <c r="A40" s="18" t="s">
        <v>21</v>
      </c>
      <c r="B40" s="52">
        <f t="shared" ref="B40:J40" si="20">B41+B42</f>
        <v>13200</v>
      </c>
      <c r="C40" s="47">
        <f t="shared" si="20"/>
        <v>13160</v>
      </c>
      <c r="D40" s="47">
        <f t="shared" si="20"/>
        <v>13160</v>
      </c>
      <c r="E40" s="47">
        <f t="shared" si="20"/>
        <v>13160</v>
      </c>
      <c r="F40" s="47">
        <f t="shared" si="20"/>
        <v>13160</v>
      </c>
      <c r="G40" s="47">
        <f t="shared" si="20"/>
        <v>13160</v>
      </c>
      <c r="H40" s="47">
        <f t="shared" si="20"/>
        <v>12160</v>
      </c>
      <c r="I40" s="47">
        <f t="shared" si="20"/>
        <v>11160</v>
      </c>
      <c r="J40" s="73">
        <f t="shared" si="20"/>
        <v>10160</v>
      </c>
      <c r="K40" s="11"/>
    </row>
    <row r="41" spans="1:11" x14ac:dyDescent="0.25">
      <c r="A41" s="2" t="s">
        <v>22</v>
      </c>
      <c r="B41" s="170">
        <v>6200</v>
      </c>
      <c r="C41" s="45">
        <f>C5*Předpoklady!$E$21</f>
        <v>6160.0000000000009</v>
      </c>
      <c r="D41" s="45">
        <f>D5*Předpoklady!$E$21</f>
        <v>6160.0000000000009</v>
      </c>
      <c r="E41" s="45">
        <f>E5*Předpoklady!$E$21</f>
        <v>6160.0000000000009</v>
      </c>
      <c r="F41" s="45">
        <f>F5*Předpoklady!$E$21</f>
        <v>6160.0000000000009</v>
      </c>
      <c r="G41" s="45">
        <f>G5*Předpoklady!$E$21</f>
        <v>6160.0000000000009</v>
      </c>
      <c r="H41" s="45">
        <f>H5*Předpoklady!$E$21</f>
        <v>6160.0000000000009</v>
      </c>
      <c r="I41" s="45">
        <f>I5*Předpoklady!$E$21</f>
        <v>6160.0000000000009</v>
      </c>
      <c r="J41" s="74">
        <f>J5*Předpoklady!$E$21</f>
        <v>6160.0000000000009</v>
      </c>
      <c r="K41" s="11"/>
    </row>
    <row r="42" spans="1:11" ht="16.5" thickBot="1" x14ac:dyDescent="0.3">
      <c r="A42" s="72" t="s">
        <v>80</v>
      </c>
      <c r="B42" s="172">
        <v>7000</v>
      </c>
      <c r="C42" s="76">
        <f>B42</f>
        <v>7000</v>
      </c>
      <c r="D42" s="76">
        <f>C42</f>
        <v>7000</v>
      </c>
      <c r="E42" s="76">
        <f>D42</f>
        <v>7000</v>
      </c>
      <c r="F42" s="76">
        <f>E42</f>
        <v>7000</v>
      </c>
      <c r="G42" s="76">
        <f>F42</f>
        <v>7000</v>
      </c>
      <c r="H42" s="76">
        <f>G42-1000</f>
        <v>6000</v>
      </c>
      <c r="I42" s="76">
        <f>H42-1000</f>
        <v>5000</v>
      </c>
      <c r="J42" s="76">
        <f>I42-1000</f>
        <v>4000</v>
      </c>
      <c r="K42" s="11"/>
    </row>
  </sheetData>
  <phoneticPr fontId="0" type="noConversion"/>
  <printOptions gridLinesSet="0"/>
  <pageMargins left="0.70866141732283472" right="0.70866141732283472" top="0.78740157480314965" bottom="0.78740157480314965" header="0.31496062992125984" footer="0.31496062992125984"/>
  <pageSetup paperSize="9" scale="98" orientation="portrait" r:id="rId1"/>
  <headerFooter>
    <oddHeader>&amp;L&amp;10Mařík, M. a kol.: Metody oceňování podniku pro pokročilé
Ekopress 2023&amp;R&amp;10Příklad: Amortizační hodnota</oddHeader>
    <oddFooter>&amp;C&amp;10Str. &amp;P&amp;R&amp;10©  Miloš Mařík, Pavla Maříková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"/>
  <sheetViews>
    <sheetView showGridLines="0" workbookViewId="0"/>
  </sheetViews>
  <sheetFormatPr defaultRowHeight="15.75" x14ac:dyDescent="0.25"/>
  <cols>
    <col min="1" max="1" width="20.625" customWidth="1"/>
    <col min="2" max="2" width="6.75" customWidth="1"/>
    <col min="3" max="10" width="7.5" customWidth="1"/>
    <col min="11" max="11" width="0.875" customWidth="1"/>
  </cols>
  <sheetData>
    <row r="1" spans="1:11" ht="18.75" x14ac:dyDescent="0.3">
      <c r="A1" s="1" t="s">
        <v>141</v>
      </c>
      <c r="B1" s="1"/>
    </row>
    <row r="2" spans="1:11" ht="19.5" thickBot="1" x14ac:dyDescent="0.35">
      <c r="A2" s="10" t="s">
        <v>65</v>
      </c>
      <c r="B2" s="1"/>
    </row>
    <row r="3" spans="1:11" ht="16.5" thickBot="1" x14ac:dyDescent="0.3">
      <c r="A3" s="181"/>
      <c r="B3" s="186">
        <f>C3-1</f>
        <v>0</v>
      </c>
      <c r="C3" s="180">
        <f>rok</f>
        <v>1</v>
      </c>
      <c r="D3" s="180">
        <f t="shared" ref="D3:J3" si="0">C3+1</f>
        <v>2</v>
      </c>
      <c r="E3" s="180">
        <f t="shared" si="0"/>
        <v>3</v>
      </c>
      <c r="F3" s="180">
        <f t="shared" si="0"/>
        <v>4</v>
      </c>
      <c r="G3" s="180">
        <f t="shared" si="0"/>
        <v>5</v>
      </c>
      <c r="H3" s="180">
        <f t="shared" si="0"/>
        <v>6</v>
      </c>
      <c r="I3" s="180">
        <f t="shared" si="0"/>
        <v>7</v>
      </c>
      <c r="J3" s="180">
        <f t="shared" si="0"/>
        <v>8</v>
      </c>
      <c r="K3" s="11"/>
    </row>
    <row r="4" spans="1:11" s="87" customFormat="1" ht="16.5" thickBot="1" x14ac:dyDescent="0.3">
      <c r="A4" s="269" t="s">
        <v>66</v>
      </c>
      <c r="B4" s="258">
        <f>Plán!B23</f>
        <v>15500</v>
      </c>
      <c r="C4" s="270">
        <f>Plán!C23</f>
        <v>14500</v>
      </c>
      <c r="D4" s="253">
        <f>Plán!D23</f>
        <v>13500</v>
      </c>
      <c r="E4" s="253">
        <f>Plán!E23</f>
        <v>12500</v>
      </c>
      <c r="F4" s="253">
        <f>Plán!F23</f>
        <v>11500</v>
      </c>
      <c r="G4" s="253">
        <f>Plán!G23</f>
        <v>10500</v>
      </c>
      <c r="H4" s="253">
        <f>Plán!H23</f>
        <v>9500</v>
      </c>
      <c r="I4" s="253">
        <f>Plán!I23</f>
        <v>8500</v>
      </c>
      <c r="J4" s="254">
        <f>Plán!J23</f>
        <v>7500</v>
      </c>
      <c r="K4" s="86"/>
    </row>
    <row r="5" spans="1:11" x14ac:dyDescent="0.25">
      <c r="A5" s="271" t="s">
        <v>67</v>
      </c>
      <c r="B5" s="272">
        <f>Plán!B29</f>
        <v>7800</v>
      </c>
      <c r="C5" s="273">
        <f>Plán!C29</f>
        <v>7699.9999999999991</v>
      </c>
      <c r="D5" s="274">
        <f>Plán!D29</f>
        <v>7699.9999999999991</v>
      </c>
      <c r="E5" s="274">
        <f>Plán!E29</f>
        <v>7699.9999999999991</v>
      </c>
      <c r="F5" s="274">
        <f>Plán!F29</f>
        <v>7699.9999999999991</v>
      </c>
      <c r="G5" s="274">
        <f>Plán!G29</f>
        <v>7699.9999999999991</v>
      </c>
      <c r="H5" s="274">
        <f>Plán!H29</f>
        <v>7699.9999999999991</v>
      </c>
      <c r="I5" s="274">
        <f>Plán!I29</f>
        <v>7699.9999999999991</v>
      </c>
      <c r="J5" s="275">
        <f>Plán!J29</f>
        <v>7699.9999999999991</v>
      </c>
      <c r="K5" s="11"/>
    </row>
    <row r="6" spans="1:11" x14ac:dyDescent="0.25">
      <c r="A6" s="7" t="s">
        <v>68</v>
      </c>
      <c r="B6" s="54">
        <f>Plán!B30</f>
        <v>2500</v>
      </c>
      <c r="C6" s="276">
        <f>Plán!C30</f>
        <v>2640</v>
      </c>
      <c r="D6" s="277">
        <f>Plán!D30</f>
        <v>2640</v>
      </c>
      <c r="E6" s="277">
        <f>Plán!E30</f>
        <v>2640</v>
      </c>
      <c r="F6" s="277">
        <f>Plán!F30</f>
        <v>2640</v>
      </c>
      <c r="G6" s="277">
        <f>Plán!G30</f>
        <v>2640</v>
      </c>
      <c r="H6" s="277">
        <f>Plán!H30</f>
        <v>2640</v>
      </c>
      <c r="I6" s="277">
        <f>Plán!I30</f>
        <v>2640</v>
      </c>
      <c r="J6" s="278">
        <f>Plán!J30</f>
        <v>2640</v>
      </c>
      <c r="K6" s="11"/>
    </row>
    <row r="7" spans="1:11" x14ac:dyDescent="0.25">
      <c r="A7" s="7" t="s">
        <v>69</v>
      </c>
      <c r="B7" s="54">
        <f>MIN(Předpoklady!$E$25,Plán!B31)</f>
        <v>3000</v>
      </c>
      <c r="C7" s="276">
        <f>MIN(Předpoklady!$E$25,Plán!C31)</f>
        <v>3000</v>
      </c>
      <c r="D7" s="277">
        <f>MIN(Předpoklady!$E$25,Plán!D31)</f>
        <v>3000</v>
      </c>
      <c r="E7" s="277">
        <f>MIN(Předpoklady!$E$25,Plán!E31)</f>
        <v>3000</v>
      </c>
      <c r="F7" s="277">
        <f>MIN(Předpoklady!$E$25,Plán!F31)</f>
        <v>3000</v>
      </c>
      <c r="G7" s="277">
        <f>MIN(Předpoklady!$E$25,Plán!G31)</f>
        <v>3000</v>
      </c>
      <c r="H7" s="277">
        <f>MIN(Předpoklady!$E$25,Plán!H31)</f>
        <v>3000</v>
      </c>
      <c r="I7" s="277">
        <f>MIN(Předpoklady!$E$25,Plán!I31)</f>
        <v>3000</v>
      </c>
      <c r="J7" s="278">
        <f>MIN(Předpoklady!$E$25,Plán!J31)</f>
        <v>3000</v>
      </c>
      <c r="K7" s="11"/>
    </row>
    <row r="8" spans="1:11" x14ac:dyDescent="0.25">
      <c r="A8" s="9" t="s">
        <v>70</v>
      </c>
      <c r="B8" s="190">
        <f>-Plán!B41</f>
        <v>-6200</v>
      </c>
      <c r="C8" s="192">
        <f>-Plán!C41</f>
        <v>-6160.0000000000009</v>
      </c>
      <c r="D8" s="64">
        <f>-Plán!D41</f>
        <v>-6160.0000000000009</v>
      </c>
      <c r="E8" s="64">
        <f>-Plán!E41</f>
        <v>-6160.0000000000009</v>
      </c>
      <c r="F8" s="64">
        <f>-Plán!F41</f>
        <v>-6160.0000000000009</v>
      </c>
      <c r="G8" s="64">
        <f>-Plán!G41</f>
        <v>-6160.0000000000009</v>
      </c>
      <c r="H8" s="64">
        <f>-Plán!H41</f>
        <v>-6160.0000000000009</v>
      </c>
      <c r="I8" s="64">
        <f>-Plán!I41</f>
        <v>-6160.0000000000009</v>
      </c>
      <c r="J8" s="193">
        <f>-Plán!J41</f>
        <v>-6160.0000000000009</v>
      </c>
      <c r="K8" s="11"/>
    </row>
    <row r="9" spans="1:11" s="87" customFormat="1" ht="16.5" thickBot="1" x14ac:dyDescent="0.3">
      <c r="A9" s="259" t="s">
        <v>71</v>
      </c>
      <c r="B9" s="260">
        <f>SUM(B5:B8)</f>
        <v>7100</v>
      </c>
      <c r="C9" s="261">
        <f t="shared" ref="C9:J9" si="1">SUM(C5:C8)</f>
        <v>7179.9999999999991</v>
      </c>
      <c r="D9" s="262">
        <f t="shared" si="1"/>
        <v>7179.9999999999991</v>
      </c>
      <c r="E9" s="262">
        <f t="shared" si="1"/>
        <v>7179.9999999999991</v>
      </c>
      <c r="F9" s="262">
        <f t="shared" si="1"/>
        <v>7179.9999999999991</v>
      </c>
      <c r="G9" s="262">
        <f t="shared" si="1"/>
        <v>7179.9999999999991</v>
      </c>
      <c r="H9" s="262">
        <f t="shared" si="1"/>
        <v>7179.9999999999991</v>
      </c>
      <c r="I9" s="262">
        <f t="shared" si="1"/>
        <v>7179.9999999999991</v>
      </c>
      <c r="J9" s="263">
        <f t="shared" si="1"/>
        <v>7179.9999999999991</v>
      </c>
      <c r="K9" s="86"/>
    </row>
    <row r="10" spans="1:11" s="87" customFormat="1" ht="16.5" thickBot="1" x14ac:dyDescent="0.3">
      <c r="A10" s="264" t="s">
        <v>72</v>
      </c>
      <c r="B10" s="265">
        <f>B4+B9</f>
        <v>22600</v>
      </c>
      <c r="C10" s="266">
        <f t="shared" ref="C10:H10" si="2">C4+C9</f>
        <v>21680</v>
      </c>
      <c r="D10" s="267">
        <f t="shared" si="2"/>
        <v>20680</v>
      </c>
      <c r="E10" s="267">
        <f t="shared" si="2"/>
        <v>19680</v>
      </c>
      <c r="F10" s="267">
        <f t="shared" si="2"/>
        <v>18680</v>
      </c>
      <c r="G10" s="267">
        <f t="shared" si="2"/>
        <v>17680</v>
      </c>
      <c r="H10" s="267">
        <f t="shared" si="2"/>
        <v>16680</v>
      </c>
      <c r="I10" s="267">
        <f>I4+I9</f>
        <v>15680</v>
      </c>
      <c r="J10" s="268">
        <f>J4+J9</f>
        <v>14680</v>
      </c>
      <c r="K10" s="86"/>
    </row>
    <row r="11" spans="1:11" ht="18.75" x14ac:dyDescent="0.3">
      <c r="A11" s="1"/>
      <c r="B11" s="1"/>
    </row>
    <row r="12" spans="1:11" ht="16.5" thickBot="1" x14ac:dyDescent="0.3">
      <c r="A12" s="10" t="s">
        <v>46</v>
      </c>
      <c r="B12" s="10"/>
    </row>
    <row r="13" spans="1:11" ht="16.5" thickBot="1" x14ac:dyDescent="0.3">
      <c r="A13" s="181"/>
      <c r="B13" s="182"/>
      <c r="C13" s="180">
        <f>rok</f>
        <v>1</v>
      </c>
      <c r="D13" s="180">
        <f t="shared" ref="D13:J13" si="3">C13+1</f>
        <v>2</v>
      </c>
      <c r="E13" s="180">
        <f t="shared" si="3"/>
        <v>3</v>
      </c>
      <c r="F13" s="180">
        <f t="shared" si="3"/>
        <v>4</v>
      </c>
      <c r="G13" s="180">
        <f t="shared" si="3"/>
        <v>5</v>
      </c>
      <c r="H13" s="180">
        <f t="shared" si="3"/>
        <v>6</v>
      </c>
      <c r="I13" s="180">
        <f t="shared" si="3"/>
        <v>7</v>
      </c>
      <c r="J13" s="180">
        <f t="shared" si="3"/>
        <v>8</v>
      </c>
      <c r="K13" s="11"/>
    </row>
    <row r="14" spans="1:11" x14ac:dyDescent="0.25">
      <c r="A14" s="279" t="s">
        <v>74</v>
      </c>
      <c r="B14" s="280"/>
      <c r="C14" s="274">
        <f>Plán!C12</f>
        <v>2946</v>
      </c>
      <c r="D14" s="274">
        <f>Plán!D12</f>
        <v>2671.0999999999985</v>
      </c>
      <c r="E14" s="274">
        <f>Plán!E12</f>
        <v>2372.5241999999962</v>
      </c>
      <c r="F14" s="274">
        <f>Plán!F12</f>
        <v>2047.0896380000013</v>
      </c>
      <c r="G14" s="274">
        <f>Plán!G12</f>
        <v>1691.1453762599995</v>
      </c>
      <c r="H14" s="274">
        <f>Plán!H12</f>
        <v>1300.5025731589958</v>
      </c>
      <c r="I14" s="274">
        <f>Plán!I12</f>
        <v>870.35407372108239</v>
      </c>
      <c r="J14" s="275">
        <f>Plán!J12</f>
        <v>395.18194684369882</v>
      </c>
      <c r="K14" s="11"/>
    </row>
    <row r="15" spans="1:11" x14ac:dyDescent="0.25">
      <c r="A15" s="65" t="s">
        <v>37</v>
      </c>
      <c r="B15" s="63"/>
      <c r="C15" s="64">
        <f>C14*Předpoklady!$E$43</f>
        <v>589.20000000000005</v>
      </c>
      <c r="D15" s="64">
        <f>D14*Předpoklady!$E$43</f>
        <v>534.21999999999969</v>
      </c>
      <c r="E15" s="64">
        <f>E14*Předpoklady!$E$43</f>
        <v>474.50483999999926</v>
      </c>
      <c r="F15" s="64">
        <f>F14*Předpoklady!$E$43</f>
        <v>409.41792760000027</v>
      </c>
      <c r="G15" s="64">
        <f>G14*Předpoklady!$E$43</f>
        <v>338.22907525199992</v>
      </c>
      <c r="H15" s="64">
        <f>H14*Předpoklady!$E$43</f>
        <v>260.10051463179917</v>
      </c>
      <c r="I15" s="64">
        <f>I14*Předpoklady!$E$43</f>
        <v>174.07081474421648</v>
      </c>
      <c r="J15" s="193">
        <f>J14*Předpoklady!$E$43</f>
        <v>79.036389368739776</v>
      </c>
      <c r="K15" s="11"/>
    </row>
    <row r="16" spans="1:11" x14ac:dyDescent="0.25">
      <c r="A16" s="281" t="s">
        <v>73</v>
      </c>
      <c r="B16" s="282"/>
      <c r="C16" s="283">
        <f>C14-C15</f>
        <v>2356.8000000000002</v>
      </c>
      <c r="D16" s="283">
        <f t="shared" ref="D16:J16" si="4">D14-D15</f>
        <v>2136.8799999999987</v>
      </c>
      <c r="E16" s="283">
        <f t="shared" si="4"/>
        <v>1898.0193599999971</v>
      </c>
      <c r="F16" s="283">
        <f t="shared" si="4"/>
        <v>1637.6717104000011</v>
      </c>
      <c r="G16" s="283">
        <f t="shared" si="4"/>
        <v>1352.9163010079997</v>
      </c>
      <c r="H16" s="283">
        <f t="shared" si="4"/>
        <v>1040.4020585271967</v>
      </c>
      <c r="I16" s="283">
        <f t="shared" si="4"/>
        <v>696.28325897686591</v>
      </c>
      <c r="J16" s="284">
        <f t="shared" si="4"/>
        <v>316.14555747495905</v>
      </c>
      <c r="K16" s="11"/>
    </row>
    <row r="17" spans="1:11" x14ac:dyDescent="0.25">
      <c r="A17" s="11" t="s">
        <v>4</v>
      </c>
      <c r="B17" s="285"/>
      <c r="C17" s="277">
        <f>Plán!C10</f>
        <v>1000</v>
      </c>
      <c r="D17" s="277">
        <f>Plán!D10</f>
        <v>1000</v>
      </c>
      <c r="E17" s="277">
        <f>Plán!E10</f>
        <v>1000</v>
      </c>
      <c r="F17" s="277">
        <f>Plán!F10</f>
        <v>1000</v>
      </c>
      <c r="G17" s="277">
        <f>Plán!G10</f>
        <v>1000</v>
      </c>
      <c r="H17" s="277">
        <f>Plán!H10</f>
        <v>1000</v>
      </c>
      <c r="I17" s="277">
        <f>Plán!I10</f>
        <v>1000</v>
      </c>
      <c r="J17" s="278">
        <f>Plán!J10</f>
        <v>1000</v>
      </c>
      <c r="K17" s="11"/>
    </row>
    <row r="18" spans="1:11" x14ac:dyDescent="0.25">
      <c r="A18" s="11" t="s">
        <v>75</v>
      </c>
      <c r="B18" s="285"/>
      <c r="C18" s="277">
        <f>-(C4-B4+C17)</f>
        <v>0</v>
      </c>
      <c r="D18" s="277">
        <f t="shared" ref="D18:J18" si="5">-(D4-C4+D17)</f>
        <v>0</v>
      </c>
      <c r="E18" s="277">
        <f t="shared" si="5"/>
        <v>0</v>
      </c>
      <c r="F18" s="277">
        <f t="shared" si="5"/>
        <v>0</v>
      </c>
      <c r="G18" s="277">
        <f t="shared" si="5"/>
        <v>0</v>
      </c>
      <c r="H18" s="277">
        <f t="shared" si="5"/>
        <v>0</v>
      </c>
      <c r="I18" s="277">
        <f t="shared" si="5"/>
        <v>0</v>
      </c>
      <c r="J18" s="278">
        <f t="shared" si="5"/>
        <v>0</v>
      </c>
      <c r="K18" s="11"/>
    </row>
    <row r="19" spans="1:11" x14ac:dyDescent="0.25">
      <c r="A19" s="65" t="s">
        <v>76</v>
      </c>
      <c r="B19" s="63"/>
      <c r="C19" s="64">
        <f>-(C9-B9)</f>
        <v>-79.999999999999091</v>
      </c>
      <c r="D19" s="64">
        <f t="shared" ref="D19:J19" si="6">-(D9-C9)</f>
        <v>0</v>
      </c>
      <c r="E19" s="64">
        <f t="shared" si="6"/>
        <v>0</v>
      </c>
      <c r="F19" s="64">
        <f t="shared" si="6"/>
        <v>0</v>
      </c>
      <c r="G19" s="64">
        <f t="shared" si="6"/>
        <v>0</v>
      </c>
      <c r="H19" s="64">
        <f t="shared" si="6"/>
        <v>0</v>
      </c>
      <c r="I19" s="64">
        <f t="shared" si="6"/>
        <v>0</v>
      </c>
      <c r="J19" s="193">
        <f t="shared" si="6"/>
        <v>0</v>
      </c>
      <c r="K19" s="11"/>
    </row>
    <row r="20" spans="1:11" s="87" customFormat="1" ht="16.5" thickBot="1" x14ac:dyDescent="0.3">
      <c r="A20" s="286" t="s">
        <v>77</v>
      </c>
      <c r="B20" s="287"/>
      <c r="C20" s="288">
        <f>SUM(C16:C19)</f>
        <v>3276.8000000000011</v>
      </c>
      <c r="D20" s="288">
        <f t="shared" ref="D20:J20" si="7">SUM(D16:D19)</f>
        <v>3136.8799999999987</v>
      </c>
      <c r="E20" s="288">
        <f t="shared" si="7"/>
        <v>2898.0193599999971</v>
      </c>
      <c r="F20" s="288">
        <f t="shared" si="7"/>
        <v>2637.6717104000008</v>
      </c>
      <c r="G20" s="288">
        <f t="shared" si="7"/>
        <v>2352.9163010079997</v>
      </c>
      <c r="H20" s="288">
        <f t="shared" si="7"/>
        <v>2040.4020585271967</v>
      </c>
      <c r="I20" s="288">
        <f t="shared" si="7"/>
        <v>1696.2832589768659</v>
      </c>
      <c r="J20" s="288">
        <f t="shared" si="7"/>
        <v>1316.1455574749591</v>
      </c>
      <c r="K20" s="86"/>
    </row>
    <row r="21" spans="1:11" x14ac:dyDescent="0.25">
      <c r="A21" s="66" t="s">
        <v>78</v>
      </c>
      <c r="B21" s="220"/>
      <c r="C21" s="222">
        <f>-Plán!C13*(1-Předpoklady!$E$43)</f>
        <v>-336</v>
      </c>
      <c r="D21" s="222">
        <f>-Plán!D13*(1-Předpoklady!$E$43)</f>
        <v>-336</v>
      </c>
      <c r="E21" s="222">
        <f>-Plán!E13*(1-Předpoklady!$E$43)</f>
        <v>-336</v>
      </c>
      <c r="F21" s="222">
        <f>-Plán!F13*(1-Předpoklady!$E$43)</f>
        <v>-336</v>
      </c>
      <c r="G21" s="222">
        <f>-Plán!G13*(1-Předpoklady!$E$43)</f>
        <v>-336</v>
      </c>
      <c r="H21" s="222">
        <f>-Plán!H13*(1-Předpoklady!$E$43)</f>
        <v>-336</v>
      </c>
      <c r="I21" s="222">
        <f>-Plán!I13*(1-Předpoklady!$E$43)</f>
        <v>-288</v>
      </c>
      <c r="J21" s="224">
        <f>-Plán!J13*(1-Předpoklady!$E$43)</f>
        <v>-240</v>
      </c>
      <c r="K21" s="11"/>
    </row>
    <row r="22" spans="1:11" ht="16.5" thickBot="1" x14ac:dyDescent="0.3">
      <c r="A22" s="65" t="s">
        <v>79</v>
      </c>
      <c r="B22" s="63"/>
      <c r="C22" s="64">
        <f>Plán!C42-Plán!B42</f>
        <v>0</v>
      </c>
      <c r="D22" s="64">
        <f>Plán!D42-Plán!C42</f>
        <v>0</v>
      </c>
      <c r="E22" s="64">
        <f>Plán!E42-Plán!D42</f>
        <v>0</v>
      </c>
      <c r="F22" s="64">
        <f>Plán!F42-Plán!E42</f>
        <v>0</v>
      </c>
      <c r="G22" s="64">
        <f>Plán!G42-Plán!F42</f>
        <v>0</v>
      </c>
      <c r="H22" s="64">
        <f>Plán!H42-Plán!G42</f>
        <v>-1000</v>
      </c>
      <c r="I22" s="64">
        <f>Plán!I42-Plán!H42</f>
        <v>-1000</v>
      </c>
      <c r="J22" s="193">
        <f>Plán!J42-Plán!I42</f>
        <v>-1000</v>
      </c>
      <c r="K22" s="11"/>
    </row>
    <row r="23" spans="1:11" ht="16.5" thickBot="1" x14ac:dyDescent="0.3">
      <c r="A23" s="203" t="s">
        <v>47</v>
      </c>
      <c r="B23" s="204"/>
      <c r="C23" s="205">
        <f>SUM(C20:C22)</f>
        <v>2940.8000000000011</v>
      </c>
      <c r="D23" s="205">
        <f t="shared" ref="D23:J23" si="8">SUM(D20:D22)</f>
        <v>2800.8799999999987</v>
      </c>
      <c r="E23" s="205">
        <f t="shared" si="8"/>
        <v>2562.0193599999971</v>
      </c>
      <c r="F23" s="205">
        <f t="shared" si="8"/>
        <v>2301.6717104000008</v>
      </c>
      <c r="G23" s="205">
        <f t="shared" si="8"/>
        <v>2016.9163010079997</v>
      </c>
      <c r="H23" s="205">
        <f t="shared" si="8"/>
        <v>704.40205852719669</v>
      </c>
      <c r="I23" s="205">
        <f t="shared" si="8"/>
        <v>408.28325897686591</v>
      </c>
      <c r="J23" s="289">
        <f t="shared" si="8"/>
        <v>76.145557474959105</v>
      </c>
      <c r="K23" s="11"/>
    </row>
    <row r="25" spans="1:11" ht="16.5" thickBot="1" x14ac:dyDescent="0.3">
      <c r="A25" s="10" t="s">
        <v>48</v>
      </c>
      <c r="B25" s="10"/>
    </row>
    <row r="26" spans="1:11" ht="16.5" thickBot="1" x14ac:dyDescent="0.3">
      <c r="A26" s="181"/>
      <c r="B26" s="182"/>
      <c r="C26" s="180">
        <f>rok</f>
        <v>1</v>
      </c>
      <c r="D26" s="180">
        <f t="shared" ref="D26:J26" si="9">C26+1</f>
        <v>2</v>
      </c>
      <c r="E26" s="180">
        <f t="shared" si="9"/>
        <v>3</v>
      </c>
      <c r="F26" s="180">
        <f t="shared" si="9"/>
        <v>4</v>
      </c>
      <c r="G26" s="180">
        <f t="shared" si="9"/>
        <v>5</v>
      </c>
      <c r="H26" s="180">
        <f t="shared" si="9"/>
        <v>6</v>
      </c>
      <c r="I26" s="180">
        <f t="shared" si="9"/>
        <v>7</v>
      </c>
      <c r="J26" s="180">
        <f t="shared" si="9"/>
        <v>8</v>
      </c>
      <c r="K26" s="11"/>
    </row>
    <row r="27" spans="1:11" x14ac:dyDescent="0.25">
      <c r="A27" s="290" t="s">
        <v>31</v>
      </c>
      <c r="B27" s="280"/>
      <c r="C27" s="274">
        <f>Předpoklady!$E33*Plán!C25</f>
        <v>3300.0000000000005</v>
      </c>
      <c r="D27" s="274">
        <f>Předpoklady!$E33*Plán!D25</f>
        <v>3300.0000000000005</v>
      </c>
      <c r="E27" s="274">
        <f>Předpoklady!$E33*Plán!E25</f>
        <v>3300.0000000000005</v>
      </c>
      <c r="F27" s="274">
        <f>Předpoklady!$E33*Plán!F25</f>
        <v>3300.0000000000005</v>
      </c>
      <c r="G27" s="274">
        <f>Předpoklady!$E33*Plán!G25</f>
        <v>3300.0000000000005</v>
      </c>
      <c r="H27" s="274">
        <f>Předpoklady!$E33*Plán!H25</f>
        <v>3300.0000000000005</v>
      </c>
      <c r="I27" s="274">
        <f>Předpoklady!$E33*Plán!I25</f>
        <v>3300.0000000000005</v>
      </c>
      <c r="J27" s="275">
        <f>Předpoklady!$E33*Plán!J25</f>
        <v>3300.0000000000005</v>
      </c>
      <c r="K27" s="11"/>
    </row>
    <row r="28" spans="1:11" x14ac:dyDescent="0.25">
      <c r="A28" s="291" t="s">
        <v>32</v>
      </c>
      <c r="B28" s="285"/>
      <c r="C28" s="277">
        <f>Předpoklady!$E34*Plán!C26</f>
        <v>5600</v>
      </c>
      <c r="D28" s="277">
        <f>Předpoklady!$E34*Plán!D26</f>
        <v>5250</v>
      </c>
      <c r="E28" s="277">
        <f>Předpoklady!$E34*Plán!E26</f>
        <v>4900</v>
      </c>
      <c r="F28" s="277">
        <f>Předpoklady!$E34*Plán!F26</f>
        <v>4550</v>
      </c>
      <c r="G28" s="277">
        <f>Předpoklady!$E34*Plán!G26</f>
        <v>4200</v>
      </c>
      <c r="H28" s="277">
        <f>Předpoklady!$E34*Plán!H26</f>
        <v>3849.9999999999995</v>
      </c>
      <c r="I28" s="277">
        <f>Předpoklady!$E34*Plán!I26</f>
        <v>3500</v>
      </c>
      <c r="J28" s="278">
        <f>Předpoklady!$E34*Plán!J26</f>
        <v>3150</v>
      </c>
      <c r="K28" s="11"/>
    </row>
    <row r="29" spans="1:11" x14ac:dyDescent="0.25">
      <c r="A29" s="291" t="s">
        <v>49</v>
      </c>
      <c r="B29" s="285"/>
      <c r="C29" s="277">
        <f>Předpoklady!$E35*Plán!C27</f>
        <v>700</v>
      </c>
      <c r="D29" s="277">
        <f>Předpoklady!$E35*Plán!D27</f>
        <v>600</v>
      </c>
      <c r="E29" s="277">
        <f>Předpoklady!$E35*Plán!E27</f>
        <v>500</v>
      </c>
      <c r="F29" s="277">
        <f>Předpoklady!$E35*Plán!F27</f>
        <v>400</v>
      </c>
      <c r="G29" s="277">
        <f>Předpoklady!$E35*Plán!G27</f>
        <v>300</v>
      </c>
      <c r="H29" s="277">
        <f>Předpoklady!$E35*Plán!H27</f>
        <v>200</v>
      </c>
      <c r="I29" s="277">
        <f>Předpoklady!$E35*Plán!I27</f>
        <v>100</v>
      </c>
      <c r="J29" s="278">
        <f>Předpoklady!$E35*Plán!J27</f>
        <v>0</v>
      </c>
      <c r="K29" s="11"/>
    </row>
    <row r="30" spans="1:11" x14ac:dyDescent="0.25">
      <c r="A30" s="291" t="s">
        <v>59</v>
      </c>
      <c r="B30" s="285"/>
      <c r="C30" s="277">
        <f>Předpoklady!$E36*Plán!C29</f>
        <v>6160</v>
      </c>
      <c r="D30" s="277">
        <f>Předpoklady!$E36*Plán!D29</f>
        <v>6160</v>
      </c>
      <c r="E30" s="277">
        <f>Předpoklady!$E36*Plán!E29</f>
        <v>6160</v>
      </c>
      <c r="F30" s="277">
        <f>Předpoklady!$E36*Plán!F29</f>
        <v>6160</v>
      </c>
      <c r="G30" s="277">
        <f>Předpoklady!$E36*Plán!G29</f>
        <v>6160</v>
      </c>
      <c r="H30" s="277">
        <f>Předpoklady!$E36*Plán!H29</f>
        <v>6160</v>
      </c>
      <c r="I30" s="277">
        <f>Předpoklady!$E36*Plán!I29</f>
        <v>6160</v>
      </c>
      <c r="J30" s="278">
        <f>Předpoklady!$E36*Plán!J29</f>
        <v>6160</v>
      </c>
      <c r="K30" s="11"/>
    </row>
    <row r="31" spans="1:11" x14ac:dyDescent="0.25">
      <c r="A31" s="291" t="s">
        <v>27</v>
      </c>
      <c r="B31" s="285"/>
      <c r="C31" s="277">
        <f>Předpoklady!$E37*Plán!C30</f>
        <v>2112</v>
      </c>
      <c r="D31" s="277">
        <f>Předpoklady!$E37*Plán!D30</f>
        <v>2112</v>
      </c>
      <c r="E31" s="277">
        <f>Předpoklady!$E37*Plán!E30</f>
        <v>2112</v>
      </c>
      <c r="F31" s="277">
        <f>Předpoklady!$E37*Plán!F30</f>
        <v>2112</v>
      </c>
      <c r="G31" s="277">
        <f>Předpoklady!$E37*Plán!G30</f>
        <v>2112</v>
      </c>
      <c r="H31" s="277">
        <f>Předpoklady!$E37*Plán!H30</f>
        <v>2112</v>
      </c>
      <c r="I31" s="277">
        <f>Předpoklady!$E37*Plán!I30</f>
        <v>2112</v>
      </c>
      <c r="J31" s="278">
        <f>Předpoklady!$E37*Plán!J30</f>
        <v>2112</v>
      </c>
      <c r="K31" s="11"/>
    </row>
    <row r="32" spans="1:11" x14ac:dyDescent="0.25">
      <c r="A32" s="62" t="s">
        <v>81</v>
      </c>
      <c r="B32" s="63"/>
      <c r="C32" s="64">
        <f>Předpoklady!$E$25</f>
        <v>3000</v>
      </c>
      <c r="D32" s="64">
        <f>Předpoklady!$E$25</f>
        <v>3000</v>
      </c>
      <c r="E32" s="64">
        <f>Předpoklady!$E$25</f>
        <v>3000</v>
      </c>
      <c r="F32" s="64">
        <f>Předpoklady!$E$25</f>
        <v>3000</v>
      </c>
      <c r="G32" s="64">
        <f>Předpoklady!$E$25</f>
        <v>3000</v>
      </c>
      <c r="H32" s="64">
        <f>Předpoklady!$E$25</f>
        <v>3000</v>
      </c>
      <c r="I32" s="64">
        <f>Předpoklady!$E$25</f>
        <v>3000</v>
      </c>
      <c r="J32" s="193">
        <f>Předpoklady!$E$25</f>
        <v>3000</v>
      </c>
      <c r="K32" s="11"/>
    </row>
    <row r="33" spans="1:11" ht="16.5" thickBot="1" x14ac:dyDescent="0.3">
      <c r="A33" s="62" t="s">
        <v>50</v>
      </c>
      <c r="B33" s="63"/>
      <c r="C33" s="64">
        <f>-Plán!C41</f>
        <v>-6160.0000000000009</v>
      </c>
      <c r="D33" s="64">
        <f>-Plán!D41</f>
        <v>-6160.0000000000009</v>
      </c>
      <c r="E33" s="64">
        <f>-Plán!E41</f>
        <v>-6160.0000000000009</v>
      </c>
      <c r="F33" s="64">
        <f>-Plán!F41</f>
        <v>-6160.0000000000009</v>
      </c>
      <c r="G33" s="64">
        <f>-Plán!G41</f>
        <v>-6160.0000000000009</v>
      </c>
      <c r="H33" s="64">
        <f>-Plán!H41</f>
        <v>-6160.0000000000009</v>
      </c>
      <c r="I33" s="64">
        <f>-Plán!I41</f>
        <v>-6160.0000000000009</v>
      </c>
      <c r="J33" s="64">
        <f>-Plán!J41</f>
        <v>-6160.0000000000009</v>
      </c>
      <c r="K33" s="11"/>
    </row>
    <row r="34" spans="1:11" ht="16.5" thickBot="1" x14ac:dyDescent="0.3">
      <c r="A34" s="203" t="s">
        <v>100</v>
      </c>
      <c r="B34" s="204"/>
      <c r="C34" s="205">
        <f>SUM(C27:C33)</f>
        <v>14712</v>
      </c>
      <c r="D34" s="205">
        <f>SUM(D27:D33)</f>
        <v>14262</v>
      </c>
      <c r="E34" s="205">
        <f t="shared" ref="E34:J34" si="10">SUM(E27:E33)</f>
        <v>13812</v>
      </c>
      <c r="F34" s="205">
        <f t="shared" si="10"/>
        <v>13362</v>
      </c>
      <c r="G34" s="205">
        <f t="shared" si="10"/>
        <v>12912</v>
      </c>
      <c r="H34" s="205">
        <f t="shared" si="10"/>
        <v>12462</v>
      </c>
      <c r="I34" s="205">
        <f t="shared" si="10"/>
        <v>12012</v>
      </c>
      <c r="J34" s="205">
        <f t="shared" si="10"/>
        <v>11562</v>
      </c>
      <c r="K34" s="11"/>
    </row>
    <row r="35" spans="1:11" ht="16.5" thickBot="1" x14ac:dyDescent="0.3">
      <c r="A35" s="62" t="s">
        <v>51</v>
      </c>
      <c r="B35" s="63"/>
      <c r="C35" s="64">
        <f>-Plán!C42</f>
        <v>-7000</v>
      </c>
      <c r="D35" s="64">
        <f>-Plán!D42</f>
        <v>-7000</v>
      </c>
      <c r="E35" s="64">
        <f>-Plán!E42</f>
        <v>-7000</v>
      </c>
      <c r="F35" s="64">
        <f>-Plán!F42</f>
        <v>-7000</v>
      </c>
      <c r="G35" s="64">
        <f>-Plán!G42</f>
        <v>-7000</v>
      </c>
      <c r="H35" s="64">
        <f>-Plán!H42</f>
        <v>-6000</v>
      </c>
      <c r="I35" s="64">
        <f>-Plán!I42</f>
        <v>-5000</v>
      </c>
      <c r="J35" s="64">
        <f>-Plán!J42</f>
        <v>-4000</v>
      </c>
      <c r="K35" s="11"/>
    </row>
    <row r="36" spans="1:11" ht="16.5" thickBot="1" x14ac:dyDescent="0.3">
      <c r="A36" s="203" t="s">
        <v>101</v>
      </c>
      <c r="B36" s="204"/>
      <c r="C36" s="205">
        <f>C34+C35</f>
        <v>7712</v>
      </c>
      <c r="D36" s="205">
        <f>D34+D35</f>
        <v>7262</v>
      </c>
      <c r="E36" s="205">
        <f t="shared" ref="E36:J36" si="11">E34+E35</f>
        <v>6812</v>
      </c>
      <c r="F36" s="205">
        <f t="shared" si="11"/>
        <v>6362</v>
      </c>
      <c r="G36" s="205">
        <f t="shared" si="11"/>
        <v>5912</v>
      </c>
      <c r="H36" s="205">
        <f t="shared" si="11"/>
        <v>6462</v>
      </c>
      <c r="I36" s="205">
        <f t="shared" si="11"/>
        <v>7012</v>
      </c>
      <c r="J36" s="205">
        <f t="shared" si="11"/>
        <v>7562</v>
      </c>
      <c r="K36" s="11"/>
    </row>
    <row r="37" spans="1:11" x14ac:dyDescent="0.25">
      <c r="C37" s="68"/>
      <c r="D37" s="68"/>
      <c r="E37" s="68"/>
      <c r="F37" s="68"/>
      <c r="G37" s="68"/>
      <c r="H37" s="68"/>
      <c r="I37" s="68"/>
    </row>
    <row r="38" spans="1:11" x14ac:dyDescent="0.25">
      <c r="A38" s="10" t="str">
        <f>"Hodnota podniku k 1. 1. "&amp;FIXED(rok,0,1)&amp;" v závislosti na roku likvidace (likvidace k 31. 12.)"</f>
        <v>Hodnota podniku k 1. 1. 1 v závislosti na roku likvidace (likvidace k 31. 12.)</v>
      </c>
    </row>
    <row r="39" spans="1:11" ht="16.5" thickBot="1" x14ac:dyDescent="0.3">
      <c r="A39" s="10" t="s">
        <v>91</v>
      </c>
    </row>
    <row r="40" spans="1:11" ht="16.5" thickBot="1" x14ac:dyDescent="0.3">
      <c r="A40" s="183"/>
      <c r="B40" s="182"/>
      <c r="C40" s="180">
        <f>rok</f>
        <v>1</v>
      </c>
      <c r="D40" s="180">
        <f t="shared" ref="D40:J40" si="12">C40+1</f>
        <v>2</v>
      </c>
      <c r="E40" s="180">
        <f t="shared" si="12"/>
        <v>3</v>
      </c>
      <c r="F40" s="180">
        <f t="shared" si="12"/>
        <v>4</v>
      </c>
      <c r="G40" s="180">
        <f t="shared" si="12"/>
        <v>5</v>
      </c>
      <c r="H40" s="180">
        <f t="shared" si="12"/>
        <v>6</v>
      </c>
      <c r="I40" s="180">
        <f t="shared" si="12"/>
        <v>7</v>
      </c>
      <c r="J40" s="180">
        <f t="shared" si="12"/>
        <v>8</v>
      </c>
      <c r="K40" s="11"/>
    </row>
    <row r="41" spans="1:11" ht="25.5" customHeight="1" thickBot="1" x14ac:dyDescent="0.3">
      <c r="A41" s="61" t="s">
        <v>52</v>
      </c>
      <c r="B41" s="246">
        <f>Předpoklady!E39</f>
        <v>0.16</v>
      </c>
      <c r="C41" s="243">
        <f>1/(1+$B$41)^(C26-rok+1)</f>
        <v>0.86206896551724144</v>
      </c>
      <c r="D41" s="243">
        <f t="shared" ref="D41:J41" si="13">1/(1+$B$41)^(D26-rok+1)</f>
        <v>0.74316290130796681</v>
      </c>
      <c r="E41" s="243">
        <f t="shared" si="13"/>
        <v>0.64065767354135073</v>
      </c>
      <c r="F41" s="243">
        <f t="shared" si="13"/>
        <v>0.5522910978804747</v>
      </c>
      <c r="G41" s="243">
        <f t="shared" si="13"/>
        <v>0.47611301541420237</v>
      </c>
      <c r="H41" s="244">
        <f t="shared" si="13"/>
        <v>0.41044225466741585</v>
      </c>
      <c r="I41" s="243">
        <f t="shared" si="13"/>
        <v>0.35382952988570338</v>
      </c>
      <c r="J41" s="245">
        <f t="shared" si="13"/>
        <v>0.30502545679802012</v>
      </c>
      <c r="K41" s="11"/>
    </row>
    <row r="42" spans="1:11" ht="25.5" customHeight="1" x14ac:dyDescent="0.25">
      <c r="A42" s="66" t="s">
        <v>82</v>
      </c>
      <c r="B42" s="220"/>
      <c r="C42" s="222">
        <f t="shared" ref="C42:J42" si="14">C41*C23</f>
        <v>2535.1724137931046</v>
      </c>
      <c r="D42" s="222">
        <f t="shared" si="14"/>
        <v>2081.5101070154569</v>
      </c>
      <c r="E42" s="222">
        <f t="shared" si="14"/>
        <v>1641.3773627454984</v>
      </c>
      <c r="F42" s="222">
        <f t="shared" si="14"/>
        <v>1271.1927958972465</v>
      </c>
      <c r="G42" s="222">
        <f t="shared" si="14"/>
        <v>960.28010191097781</v>
      </c>
      <c r="H42" s="223">
        <f t="shared" si="14"/>
        <v>289.11636909427165</v>
      </c>
      <c r="I42" s="222">
        <f t="shared" si="14"/>
        <v>144.46267358398734</v>
      </c>
      <c r="J42" s="224">
        <f t="shared" si="14"/>
        <v>23.226333451939297</v>
      </c>
      <c r="K42" s="11"/>
    </row>
    <row r="43" spans="1:11" ht="25.5" customHeight="1" x14ac:dyDescent="0.25">
      <c r="A43" s="281" t="s">
        <v>144</v>
      </c>
      <c r="B43" s="282"/>
      <c r="C43" s="283">
        <f>SUM($C$42:C42)</f>
        <v>2535.1724137931046</v>
      </c>
      <c r="D43" s="283">
        <f>SUM($C$42:D42)</f>
        <v>4616.6825208085611</v>
      </c>
      <c r="E43" s="283">
        <f>SUM($C$42:E42)</f>
        <v>6258.0598835540595</v>
      </c>
      <c r="F43" s="283">
        <f>SUM($C$42:F42)</f>
        <v>7529.252679451306</v>
      </c>
      <c r="G43" s="283">
        <f>SUM($C$42:G42)</f>
        <v>8489.5327813622844</v>
      </c>
      <c r="H43" s="292">
        <f>SUM($C$42:H42)</f>
        <v>8778.6491504565565</v>
      </c>
      <c r="I43" s="283">
        <f>SUM($C$42:I42)</f>
        <v>8923.1118240405431</v>
      </c>
      <c r="J43" s="284">
        <f>SUM($C$42:J42)</f>
        <v>8946.3381574924824</v>
      </c>
      <c r="K43" s="11"/>
    </row>
    <row r="44" spans="1:11" ht="25.5" customHeight="1" thickBot="1" x14ac:dyDescent="0.3">
      <c r="A44" s="213" t="s">
        <v>102</v>
      </c>
      <c r="B44" s="237"/>
      <c r="C44" s="239">
        <f>C36*C41</f>
        <v>6648.2758620689656</v>
      </c>
      <c r="D44" s="239">
        <f t="shared" ref="D44:J44" si="15">D36*D41</f>
        <v>5396.8489892984553</v>
      </c>
      <c r="E44" s="239">
        <f t="shared" si="15"/>
        <v>4364.1600721636814</v>
      </c>
      <c r="F44" s="239">
        <f t="shared" si="15"/>
        <v>3513.67596471558</v>
      </c>
      <c r="G44" s="239">
        <f t="shared" si="15"/>
        <v>2814.7801471287644</v>
      </c>
      <c r="H44" s="240">
        <f t="shared" si="15"/>
        <v>2652.2778496608412</v>
      </c>
      <c r="I44" s="239">
        <f t="shared" si="15"/>
        <v>2481.052663558552</v>
      </c>
      <c r="J44" s="241">
        <f t="shared" si="15"/>
        <v>2306.6025043066284</v>
      </c>
      <c r="K44" s="11"/>
    </row>
    <row r="45" spans="1:11" s="87" customFormat="1" ht="25.5" customHeight="1" x14ac:dyDescent="0.25">
      <c r="A45" s="200" t="s">
        <v>85</v>
      </c>
      <c r="B45" s="201"/>
      <c r="C45" s="202">
        <f>C43+C44</f>
        <v>9183.4482758620707</v>
      </c>
      <c r="D45" s="202">
        <f t="shared" ref="D45:J45" si="16">D43+D44</f>
        <v>10013.531510107015</v>
      </c>
      <c r="E45" s="202">
        <f t="shared" si="16"/>
        <v>10622.219955717741</v>
      </c>
      <c r="F45" s="202">
        <f t="shared" si="16"/>
        <v>11042.928644166886</v>
      </c>
      <c r="G45" s="202">
        <f t="shared" si="16"/>
        <v>11304.312928491048</v>
      </c>
      <c r="H45" s="176">
        <f t="shared" si="16"/>
        <v>11430.927000117397</v>
      </c>
      <c r="I45" s="202">
        <f t="shared" si="16"/>
        <v>11404.164487599095</v>
      </c>
      <c r="J45" s="202">
        <f t="shared" si="16"/>
        <v>11252.940661799112</v>
      </c>
      <c r="K45" s="86"/>
    </row>
    <row r="46" spans="1:11" ht="25.5" customHeight="1" thickBot="1" x14ac:dyDescent="0.3">
      <c r="A46" s="65" t="s">
        <v>83</v>
      </c>
      <c r="B46" s="63"/>
      <c r="C46" s="64">
        <f>Plán!$B$31-Předpoklady!$E$25</f>
        <v>1464</v>
      </c>
      <c r="D46" s="64">
        <f>Plán!$B$31-Předpoklady!$E$25</f>
        <v>1464</v>
      </c>
      <c r="E46" s="64">
        <f>Plán!$B$31-Předpoklady!$E$25</f>
        <v>1464</v>
      </c>
      <c r="F46" s="64">
        <f>Plán!$B$31-Předpoklady!$E$25</f>
        <v>1464</v>
      </c>
      <c r="G46" s="64">
        <f>Plán!$B$31-Předpoklady!$E$25</f>
        <v>1464</v>
      </c>
      <c r="H46" s="175">
        <f>Plán!$B$31-Předpoklady!$E$25</f>
        <v>1464</v>
      </c>
      <c r="I46" s="64">
        <f>Plán!$B$31-Předpoklady!$E$25</f>
        <v>1464</v>
      </c>
      <c r="J46" s="64">
        <f>Plán!$B$31-Předpoklady!$E$25</f>
        <v>1464</v>
      </c>
      <c r="K46" s="11"/>
    </row>
    <row r="47" spans="1:11" ht="25.5" customHeight="1" thickBot="1" x14ac:dyDescent="0.3">
      <c r="A47" s="206" t="str">
        <f>"Hodnota netto k 1. 1. "&amp;FIXED(rok,0,1)</f>
        <v>Hodnota netto k 1. 1. 1</v>
      </c>
      <c r="B47" s="207"/>
      <c r="C47" s="209">
        <f t="shared" ref="C47:J47" si="17">C45+C46</f>
        <v>10647.448275862071</v>
      </c>
      <c r="D47" s="208">
        <f t="shared" si="17"/>
        <v>11477.531510107015</v>
      </c>
      <c r="E47" s="208">
        <f t="shared" si="17"/>
        <v>12086.219955717741</v>
      </c>
      <c r="F47" s="208">
        <f t="shared" si="17"/>
        <v>12506.928644166886</v>
      </c>
      <c r="G47" s="208">
        <f t="shared" si="17"/>
        <v>12768.312928491048</v>
      </c>
      <c r="H47" s="177">
        <f t="shared" si="17"/>
        <v>12894.927000117397</v>
      </c>
      <c r="I47" s="208">
        <f t="shared" si="17"/>
        <v>12868.164487599095</v>
      </c>
      <c r="J47" s="210">
        <f t="shared" si="17"/>
        <v>12716.940661799112</v>
      </c>
    </row>
    <row r="48" spans="1:11" ht="27.75" customHeight="1" x14ac:dyDescent="0.25">
      <c r="C48" s="125"/>
      <c r="D48" s="125"/>
      <c r="E48" s="125"/>
      <c r="F48" s="125"/>
      <c r="G48" s="125"/>
      <c r="H48" s="125"/>
      <c r="I48" s="125"/>
      <c r="J48" s="125"/>
    </row>
    <row r="49" spans="1:11" ht="16.5" thickBot="1" x14ac:dyDescent="0.3">
      <c r="A49" s="10" t="s">
        <v>90</v>
      </c>
    </row>
    <row r="50" spans="1:11" ht="16.5" thickBot="1" x14ac:dyDescent="0.3">
      <c r="A50" s="183"/>
      <c r="B50" s="182"/>
      <c r="C50" s="180">
        <f>rok</f>
        <v>1</v>
      </c>
      <c r="D50" s="180">
        <f t="shared" ref="D50:J50" si="18">C50+1</f>
        <v>2</v>
      </c>
      <c r="E50" s="180">
        <f t="shared" si="18"/>
        <v>3</v>
      </c>
      <c r="F50" s="180">
        <f t="shared" si="18"/>
        <v>4</v>
      </c>
      <c r="G50" s="180">
        <f t="shared" si="18"/>
        <v>5</v>
      </c>
      <c r="H50" s="180">
        <f t="shared" si="18"/>
        <v>6</v>
      </c>
      <c r="I50" s="180">
        <f t="shared" si="18"/>
        <v>7</v>
      </c>
      <c r="J50" s="180">
        <f t="shared" si="18"/>
        <v>8</v>
      </c>
      <c r="K50" s="11"/>
    </row>
    <row r="51" spans="1:11" ht="25.5" customHeight="1" thickBot="1" x14ac:dyDescent="0.3">
      <c r="A51" s="61" t="s">
        <v>52</v>
      </c>
      <c r="B51" s="242">
        <f>Předpoklady!E42</f>
        <v>0.1152</v>
      </c>
      <c r="C51" s="243">
        <f t="shared" ref="C51:J51" si="19">1/(1+$B$51)^(C50-rok+1)</f>
        <v>0.89670014347202298</v>
      </c>
      <c r="D51" s="243">
        <f t="shared" si="19"/>
        <v>0.80407114730274654</v>
      </c>
      <c r="E51" s="243">
        <f t="shared" si="19"/>
        <v>0.72101071314808696</v>
      </c>
      <c r="F51" s="243">
        <f t="shared" si="19"/>
        <v>0.64653040992475519</v>
      </c>
      <c r="G51" s="243">
        <f t="shared" si="19"/>
        <v>0.57974391133855374</v>
      </c>
      <c r="H51" s="244">
        <f t="shared" si="19"/>
        <v>0.51985644847431289</v>
      </c>
      <c r="I51" s="243">
        <f t="shared" si="19"/>
        <v>0.46615535193177271</v>
      </c>
      <c r="J51" s="245">
        <f t="shared" si="19"/>
        <v>0.41800157095747192</v>
      </c>
      <c r="K51" s="11"/>
    </row>
    <row r="52" spans="1:11" ht="25.5" customHeight="1" x14ac:dyDescent="0.25">
      <c r="A52" s="65" t="s">
        <v>84</v>
      </c>
      <c r="B52" s="63"/>
      <c r="C52" s="64">
        <f t="shared" ref="C52:J52" si="20">C51*C20</f>
        <v>2938.3070301291259</v>
      </c>
      <c r="D52" s="64">
        <f t="shared" si="20"/>
        <v>2522.2747005510387</v>
      </c>
      <c r="E52" s="64">
        <f t="shared" si="20"/>
        <v>2089.5030054705603</v>
      </c>
      <c r="F52" s="64">
        <f t="shared" si="20"/>
        <v>1705.3349721718428</v>
      </c>
      <c r="G52" s="64">
        <f t="shared" si="20"/>
        <v>1364.0888993986196</v>
      </c>
      <c r="H52" s="175">
        <f t="shared" si="20"/>
        <v>1060.7161676056255</v>
      </c>
      <c r="I52" s="64">
        <f t="shared" si="20"/>
        <v>790.73151956433526</v>
      </c>
      <c r="J52" s="193">
        <f t="shared" si="20"/>
        <v>550.15091063323052</v>
      </c>
      <c r="K52" s="11"/>
    </row>
    <row r="53" spans="1:11" ht="25.5" customHeight="1" x14ac:dyDescent="0.25">
      <c r="A53" s="281" t="s">
        <v>145</v>
      </c>
      <c r="B53" s="282"/>
      <c r="C53" s="283">
        <f>C52</f>
        <v>2938.3070301291259</v>
      </c>
      <c r="D53" s="283">
        <f>SUM($C$52:D52)</f>
        <v>5460.5817306801646</v>
      </c>
      <c r="E53" s="283">
        <f>SUM($C$52:E52)</f>
        <v>7550.0847361507249</v>
      </c>
      <c r="F53" s="283">
        <f>SUM($C$52:F52)</f>
        <v>9255.4197083225681</v>
      </c>
      <c r="G53" s="283">
        <f>SUM($C$52:G52)</f>
        <v>10619.508607721187</v>
      </c>
      <c r="H53" s="292">
        <f>SUM($C$52:H52)</f>
        <v>11680.224775326813</v>
      </c>
      <c r="I53" s="283">
        <f>SUM($C$52:I52)</f>
        <v>12470.956294891148</v>
      </c>
      <c r="J53" s="284">
        <f>SUM($C$52:J52)</f>
        <v>13021.107205524379</v>
      </c>
      <c r="K53" s="11"/>
    </row>
    <row r="54" spans="1:11" ht="25.5" customHeight="1" thickBot="1" x14ac:dyDescent="0.3">
      <c r="A54" s="213" t="s">
        <v>103</v>
      </c>
      <c r="B54" s="237"/>
      <c r="C54" s="239">
        <f t="shared" ref="C54:J54" si="21">C51*C34</f>
        <v>13192.252510760401</v>
      </c>
      <c r="D54" s="239">
        <f t="shared" si="21"/>
        <v>11467.662702831771</v>
      </c>
      <c r="E54" s="239">
        <f t="shared" si="21"/>
        <v>9958.5999700013763</v>
      </c>
      <c r="F54" s="239">
        <f t="shared" si="21"/>
        <v>8638.9393374145784</v>
      </c>
      <c r="G54" s="239">
        <f t="shared" si="21"/>
        <v>7485.6533832034056</v>
      </c>
      <c r="H54" s="240">
        <f t="shared" si="21"/>
        <v>6478.4510608868877</v>
      </c>
      <c r="I54" s="239">
        <f t="shared" si="21"/>
        <v>5599.4580874044541</v>
      </c>
      <c r="J54" s="241">
        <f t="shared" si="21"/>
        <v>4832.9341634102902</v>
      </c>
      <c r="K54" s="11"/>
    </row>
    <row r="55" spans="1:11" s="87" customFormat="1" ht="25.5" customHeight="1" x14ac:dyDescent="0.25">
      <c r="A55" s="231" t="s">
        <v>86</v>
      </c>
      <c r="B55" s="232"/>
      <c r="C55" s="234">
        <f>C53+C54</f>
        <v>16130.559540889528</v>
      </c>
      <c r="D55" s="234">
        <f t="shared" ref="D55:J55" si="22">D53+D54</f>
        <v>16928.244433511936</v>
      </c>
      <c r="E55" s="234">
        <f t="shared" si="22"/>
        <v>17508.6847061521</v>
      </c>
      <c r="F55" s="234">
        <f t="shared" si="22"/>
        <v>17894.359045737147</v>
      </c>
      <c r="G55" s="234">
        <f t="shared" si="22"/>
        <v>18105.161990924593</v>
      </c>
      <c r="H55" s="235">
        <f t="shared" si="22"/>
        <v>18158.675836213701</v>
      </c>
      <c r="I55" s="234">
        <f t="shared" si="22"/>
        <v>18070.414382295603</v>
      </c>
      <c r="J55" s="236">
        <f t="shared" si="22"/>
        <v>17854.041368934668</v>
      </c>
      <c r="K55" s="86"/>
    </row>
    <row r="56" spans="1:11" ht="25.5" customHeight="1" thickBot="1" x14ac:dyDescent="0.3">
      <c r="A56" s="213" t="s">
        <v>87</v>
      </c>
      <c r="B56" s="237"/>
      <c r="C56" s="239">
        <f>Plán!$B$42</f>
        <v>7000</v>
      </c>
      <c r="D56" s="239">
        <f>Plán!$B$42</f>
        <v>7000</v>
      </c>
      <c r="E56" s="239">
        <f>Plán!$B$42</f>
        <v>7000</v>
      </c>
      <c r="F56" s="239">
        <f>Plán!$B$42</f>
        <v>7000</v>
      </c>
      <c r="G56" s="239">
        <f>Plán!$B$42</f>
        <v>7000</v>
      </c>
      <c r="H56" s="240">
        <f>Plán!$B$42</f>
        <v>7000</v>
      </c>
      <c r="I56" s="239">
        <f>Plán!$B$42</f>
        <v>7000</v>
      </c>
      <c r="J56" s="241">
        <f>Plán!$B$42</f>
        <v>7000</v>
      </c>
      <c r="K56" s="11"/>
    </row>
    <row r="57" spans="1:11" s="87" customFormat="1" ht="25.5" customHeight="1" x14ac:dyDescent="0.25">
      <c r="A57" s="200" t="s">
        <v>85</v>
      </c>
      <c r="B57" s="201"/>
      <c r="C57" s="202">
        <f>C55-C56</f>
        <v>9130.5595408895279</v>
      </c>
      <c r="D57" s="202">
        <f t="shared" ref="D57:J57" si="23">D55-D56</f>
        <v>9928.2444335119362</v>
      </c>
      <c r="E57" s="202">
        <f t="shared" si="23"/>
        <v>10508.6847061521</v>
      </c>
      <c r="F57" s="202">
        <f t="shared" si="23"/>
        <v>10894.359045737147</v>
      </c>
      <c r="G57" s="202">
        <f t="shared" si="23"/>
        <v>11105.161990924593</v>
      </c>
      <c r="H57" s="176">
        <f t="shared" si="23"/>
        <v>11158.675836213701</v>
      </c>
      <c r="I57" s="202">
        <f t="shared" si="23"/>
        <v>11070.414382295603</v>
      </c>
      <c r="J57" s="202">
        <f t="shared" si="23"/>
        <v>10854.041368934668</v>
      </c>
      <c r="K57" s="86"/>
    </row>
    <row r="58" spans="1:11" ht="25.5" customHeight="1" thickBot="1" x14ac:dyDescent="0.3">
      <c r="A58" s="65" t="s">
        <v>83</v>
      </c>
      <c r="B58" s="63"/>
      <c r="C58" s="64">
        <f>Plán!$B$31-Předpoklady!$E$25</f>
        <v>1464</v>
      </c>
      <c r="D58" s="64">
        <f>Plán!$B$31-Předpoklady!$E$25</f>
        <v>1464</v>
      </c>
      <c r="E58" s="64">
        <f>Plán!$B$31-Předpoklady!$E$25</f>
        <v>1464</v>
      </c>
      <c r="F58" s="64">
        <f>Plán!$B$31-Předpoklady!$E$25</f>
        <v>1464</v>
      </c>
      <c r="G58" s="64">
        <f>Plán!$B$31-Předpoklady!$E$25</f>
        <v>1464</v>
      </c>
      <c r="H58" s="175">
        <f>Plán!$B$31-Předpoklady!$E$25</f>
        <v>1464</v>
      </c>
      <c r="I58" s="64">
        <f>Plán!$B$31-Předpoklady!$E$25</f>
        <v>1464</v>
      </c>
      <c r="J58" s="64">
        <f>Plán!$B$31-Předpoklady!$E$25</f>
        <v>1464</v>
      </c>
      <c r="K58" s="11"/>
    </row>
    <row r="59" spans="1:11" ht="25.5" customHeight="1" thickBot="1" x14ac:dyDescent="0.3">
      <c r="A59" s="206" t="str">
        <f>"Hodnota netto k 1. 1. "&amp;FIXED(rok,0,1)</f>
        <v>Hodnota netto k 1. 1. 1</v>
      </c>
      <c r="B59" s="207"/>
      <c r="C59" s="208">
        <f t="shared" ref="C59:J59" si="24">C57+C58</f>
        <v>10594.559540889528</v>
      </c>
      <c r="D59" s="208">
        <f t="shared" si="24"/>
        <v>11392.244433511936</v>
      </c>
      <c r="E59" s="208">
        <f t="shared" si="24"/>
        <v>11972.6847061521</v>
      </c>
      <c r="F59" s="208">
        <f t="shared" si="24"/>
        <v>12358.359045737147</v>
      </c>
      <c r="G59" s="208">
        <f t="shared" si="24"/>
        <v>12569.161990924593</v>
      </c>
      <c r="H59" s="177">
        <f t="shared" si="24"/>
        <v>12622.675836213701</v>
      </c>
      <c r="I59" s="208">
        <f t="shared" si="24"/>
        <v>12534.414382295603</v>
      </c>
      <c r="J59" s="208">
        <f t="shared" si="24"/>
        <v>12318.041368934668</v>
      </c>
      <c r="K59" s="11"/>
    </row>
    <row r="60" spans="1:11" x14ac:dyDescent="0.25">
      <c r="A60" s="89"/>
      <c r="B60" s="89"/>
      <c r="C60" s="124"/>
      <c r="D60" s="124"/>
      <c r="E60" s="124"/>
      <c r="F60" s="124"/>
      <c r="G60" s="124"/>
      <c r="H60" s="174"/>
      <c r="I60" s="124"/>
      <c r="J60" s="124"/>
    </row>
    <row r="61" spans="1:11" ht="16.5" thickBot="1" x14ac:dyDescent="0.3">
      <c r="A61" s="10" t="s">
        <v>113</v>
      </c>
    </row>
    <row r="62" spans="1:11" ht="16.5" thickBot="1" x14ac:dyDescent="0.3">
      <c r="A62" s="183"/>
      <c r="B62" s="182"/>
      <c r="C62" s="184">
        <f>rok</f>
        <v>1</v>
      </c>
      <c r="D62" s="180">
        <f t="shared" ref="D62:J62" si="25">C62+1</f>
        <v>2</v>
      </c>
      <c r="E62" s="180">
        <f t="shared" si="25"/>
        <v>3</v>
      </c>
      <c r="F62" s="180">
        <f t="shared" si="25"/>
        <v>4</v>
      </c>
      <c r="G62" s="180">
        <f t="shared" si="25"/>
        <v>5</v>
      </c>
      <c r="H62" s="180">
        <f t="shared" si="25"/>
        <v>6</v>
      </c>
      <c r="I62" s="180">
        <f t="shared" si="25"/>
        <v>7</v>
      </c>
      <c r="J62" s="185">
        <f t="shared" si="25"/>
        <v>8</v>
      </c>
    </row>
    <row r="63" spans="1:11" ht="24" customHeight="1" x14ac:dyDescent="0.35">
      <c r="A63" s="279" t="s">
        <v>146</v>
      </c>
      <c r="B63" s="293">
        <f>Iterace!C41</f>
        <v>0.125</v>
      </c>
      <c r="C63" s="294">
        <f t="shared" ref="C63:J63" si="26">1/(1+$B$63)^(C62-rok+1)</f>
        <v>0.88888888888888884</v>
      </c>
      <c r="D63" s="295">
        <f t="shared" si="26"/>
        <v>0.79012345679012341</v>
      </c>
      <c r="E63" s="295">
        <f t="shared" si="26"/>
        <v>0.7023319615912208</v>
      </c>
      <c r="F63" s="295">
        <f t="shared" si="26"/>
        <v>0.62429507696997411</v>
      </c>
      <c r="G63" s="295">
        <f t="shared" si="26"/>
        <v>0.5549289573066436</v>
      </c>
      <c r="H63" s="296">
        <f t="shared" si="26"/>
        <v>0.49327018427257213</v>
      </c>
      <c r="I63" s="295">
        <f t="shared" si="26"/>
        <v>0.4384623860200641</v>
      </c>
      <c r="J63" s="297">
        <f t="shared" si="26"/>
        <v>0.38974434312894585</v>
      </c>
    </row>
    <row r="64" spans="1:11" ht="24" customHeight="1" thickBot="1" x14ac:dyDescent="0.4">
      <c r="A64" s="213" t="s">
        <v>147</v>
      </c>
      <c r="B64" s="214">
        <f>Předpoklady!E40</f>
        <v>0.06</v>
      </c>
      <c r="C64" s="215">
        <f t="shared" ref="C64:J64" si="27">1/(1+$B$64)^(C62-rok+1)</f>
        <v>0.94339622641509424</v>
      </c>
      <c r="D64" s="216">
        <f t="shared" si="27"/>
        <v>0.88999644001423983</v>
      </c>
      <c r="E64" s="217">
        <f t="shared" si="27"/>
        <v>0.8396192830323016</v>
      </c>
      <c r="F64" s="217">
        <f t="shared" si="27"/>
        <v>0.79209366323802044</v>
      </c>
      <c r="G64" s="217">
        <f t="shared" si="27"/>
        <v>0.74725817286605689</v>
      </c>
      <c r="H64" s="218">
        <f t="shared" si="27"/>
        <v>0.70496054043967626</v>
      </c>
      <c r="I64" s="217">
        <f t="shared" si="27"/>
        <v>0.66505711362233599</v>
      </c>
      <c r="J64" s="219">
        <f t="shared" si="27"/>
        <v>0.62741237134182648</v>
      </c>
    </row>
    <row r="65" spans="1:10" ht="24" customHeight="1" x14ac:dyDescent="0.25">
      <c r="A65" s="66" t="s">
        <v>84</v>
      </c>
      <c r="B65" s="220"/>
      <c r="C65" s="221">
        <f t="shared" ref="C65:J65" si="28">C63*C20</f>
        <v>2912.7111111111121</v>
      </c>
      <c r="D65" s="222">
        <f t="shared" si="28"/>
        <v>2478.5224691358012</v>
      </c>
      <c r="E65" s="222">
        <f t="shared" si="28"/>
        <v>2035.3716218381321</v>
      </c>
      <c r="F65" s="222">
        <f t="shared" si="28"/>
        <v>1646.6854634656918</v>
      </c>
      <c r="G65" s="222">
        <f t="shared" si="28"/>
        <v>1305.7013895481741</v>
      </c>
      <c r="H65" s="223">
        <f t="shared" si="28"/>
        <v>1006.4694993998459</v>
      </c>
      <c r="I65" s="222">
        <f t="shared" si="28"/>
        <v>743.75640509688697</v>
      </c>
      <c r="J65" s="224">
        <f t="shared" si="28"/>
        <v>512.96028576015817</v>
      </c>
    </row>
    <row r="66" spans="1:10" ht="24" customHeight="1" x14ac:dyDescent="0.25">
      <c r="A66" s="281" t="s">
        <v>145</v>
      </c>
      <c r="B66" s="282"/>
      <c r="C66" s="298">
        <f>C65</f>
        <v>2912.7111111111121</v>
      </c>
      <c r="D66" s="283">
        <f>SUM($C$65:D65)</f>
        <v>5391.2335802469133</v>
      </c>
      <c r="E66" s="283">
        <f>SUM($C$65:E65)</f>
        <v>7426.6052020850457</v>
      </c>
      <c r="F66" s="283">
        <f>SUM($C$65:F65)</f>
        <v>9073.2906655507377</v>
      </c>
      <c r="G66" s="283">
        <f>SUM($C$65:G65)</f>
        <v>10378.992055098912</v>
      </c>
      <c r="H66" s="292">
        <f>SUM($C$65:H65)</f>
        <v>11385.461554498757</v>
      </c>
      <c r="I66" s="283">
        <f>SUM($C$65:I65)</f>
        <v>12129.217959595644</v>
      </c>
      <c r="J66" s="284">
        <f>SUM($C$65:J65)</f>
        <v>12642.178245355803</v>
      </c>
    </row>
    <row r="67" spans="1:10" ht="24" customHeight="1" x14ac:dyDescent="0.25">
      <c r="A67" s="65" t="s">
        <v>103</v>
      </c>
      <c r="B67" s="63"/>
      <c r="C67" s="192">
        <f t="shared" ref="C67:J67" si="29">C63*C34</f>
        <v>13077.333333333332</v>
      </c>
      <c r="D67" s="64">
        <f t="shared" si="29"/>
        <v>11268.740740740741</v>
      </c>
      <c r="E67" s="64">
        <f t="shared" si="29"/>
        <v>9700.6090534979412</v>
      </c>
      <c r="F67" s="64">
        <f t="shared" si="29"/>
        <v>8341.8308184727939</v>
      </c>
      <c r="G67" s="64">
        <f t="shared" si="29"/>
        <v>7165.2426967433821</v>
      </c>
      <c r="H67" s="175">
        <f t="shared" si="29"/>
        <v>6147.1330364047935</v>
      </c>
      <c r="I67" s="64">
        <f t="shared" si="29"/>
        <v>5266.8101808730098</v>
      </c>
      <c r="J67" s="193">
        <f t="shared" si="29"/>
        <v>4506.2240952568718</v>
      </c>
    </row>
    <row r="68" spans="1:10" ht="24" customHeight="1" thickBot="1" x14ac:dyDescent="0.3">
      <c r="A68" s="225" t="s">
        <v>127</v>
      </c>
      <c r="B68" s="226"/>
      <c r="C68" s="227">
        <f>C66+C67</f>
        <v>15990.044444444444</v>
      </c>
      <c r="D68" s="228">
        <f t="shared" ref="D68:J68" si="30">D66+D67</f>
        <v>16659.974320987654</v>
      </c>
      <c r="E68" s="228">
        <f t="shared" si="30"/>
        <v>17127.214255582985</v>
      </c>
      <c r="F68" s="228">
        <f t="shared" si="30"/>
        <v>17415.121484023533</v>
      </c>
      <c r="G68" s="228">
        <f t="shared" si="30"/>
        <v>17544.234751842294</v>
      </c>
      <c r="H68" s="229">
        <f t="shared" si="30"/>
        <v>17532.594590903551</v>
      </c>
      <c r="I68" s="228">
        <f t="shared" si="30"/>
        <v>17396.028140468654</v>
      </c>
      <c r="J68" s="230">
        <f t="shared" si="30"/>
        <v>17148.402340612673</v>
      </c>
    </row>
    <row r="69" spans="1:10" ht="24" customHeight="1" x14ac:dyDescent="0.25">
      <c r="A69" s="279" t="s">
        <v>114</v>
      </c>
      <c r="B69" s="280"/>
      <c r="C69" s="273">
        <f>Plán!B42*Předpoklady!$E$40*Předpoklady!$E$43</f>
        <v>84</v>
      </c>
      <c r="D69" s="274">
        <f>Plán!C42*Předpoklady!$E$40*Předpoklady!$E$43</f>
        <v>84</v>
      </c>
      <c r="E69" s="274">
        <f>Plán!D42*Předpoklady!$E$40*Předpoklady!$E$43</f>
        <v>84</v>
      </c>
      <c r="F69" s="274">
        <f>Plán!E42*Předpoklady!$E$40*Předpoklady!$E$43</f>
        <v>84</v>
      </c>
      <c r="G69" s="274">
        <f>Plán!F42*Předpoklady!$E$40*Předpoklady!$E$43</f>
        <v>84</v>
      </c>
      <c r="H69" s="299">
        <f>Plán!G42*Předpoklady!$E$40*Předpoklady!$E$43</f>
        <v>84</v>
      </c>
      <c r="I69" s="274">
        <f>Plán!H42*Předpoklady!$E$40*Předpoklady!$E$43</f>
        <v>72</v>
      </c>
      <c r="J69" s="275">
        <f>Plán!I42*Předpoklady!$E$40*Předpoklady!$E$43</f>
        <v>60</v>
      </c>
    </row>
    <row r="70" spans="1:10" ht="24" customHeight="1" x14ac:dyDescent="0.25">
      <c r="A70" s="65" t="s">
        <v>115</v>
      </c>
      <c r="B70" s="63"/>
      <c r="C70" s="192">
        <f>C69*C64</f>
        <v>79.245283018867923</v>
      </c>
      <c r="D70" s="64">
        <f t="shared" ref="D70:J70" si="31">D69*D64</f>
        <v>74.759700961196145</v>
      </c>
      <c r="E70" s="64">
        <f t="shared" si="31"/>
        <v>70.528019774713329</v>
      </c>
      <c r="F70" s="64">
        <f t="shared" si="31"/>
        <v>66.535867711993717</v>
      </c>
      <c r="G70" s="64">
        <f t="shared" si="31"/>
        <v>62.769686520748778</v>
      </c>
      <c r="H70" s="175">
        <f t="shared" si="31"/>
        <v>59.216685396932803</v>
      </c>
      <c r="I70" s="64">
        <f t="shared" si="31"/>
        <v>47.884112180808188</v>
      </c>
      <c r="J70" s="193">
        <f t="shared" si="31"/>
        <v>37.64474228050959</v>
      </c>
    </row>
    <row r="71" spans="1:10" ht="24" customHeight="1" thickBot="1" x14ac:dyDescent="0.3">
      <c r="A71" s="225" t="s">
        <v>116</v>
      </c>
      <c r="B71" s="226"/>
      <c r="C71" s="227">
        <f>C70</f>
        <v>79.245283018867923</v>
      </c>
      <c r="D71" s="228">
        <f>SUM($C$70:D70)</f>
        <v>154.00498398006408</v>
      </c>
      <c r="E71" s="228">
        <f>SUM($C$70:E70)</f>
        <v>224.53300375477741</v>
      </c>
      <c r="F71" s="228">
        <f>SUM($C$70:F70)</f>
        <v>291.06887146677116</v>
      </c>
      <c r="G71" s="228">
        <f>SUM($C$70:G70)</f>
        <v>353.83855798751995</v>
      </c>
      <c r="H71" s="229">
        <f>SUM($C$70:H70)</f>
        <v>413.05524338445275</v>
      </c>
      <c r="I71" s="228">
        <f>SUM($C$70:I70)</f>
        <v>460.93935556526094</v>
      </c>
      <c r="J71" s="230">
        <f>SUM($C$70:J70)</f>
        <v>498.58409784577054</v>
      </c>
    </row>
    <row r="72" spans="1:10" ht="24" customHeight="1" x14ac:dyDescent="0.25">
      <c r="A72" s="231" t="s">
        <v>86</v>
      </c>
      <c r="B72" s="232"/>
      <c r="C72" s="233">
        <f>C68+C71</f>
        <v>16069.289727463312</v>
      </c>
      <c r="D72" s="234">
        <f t="shared" ref="D72:J72" si="32">D68+D71</f>
        <v>16813.979304967717</v>
      </c>
      <c r="E72" s="234">
        <f t="shared" si="32"/>
        <v>17351.747259337764</v>
      </c>
      <c r="F72" s="234">
        <f t="shared" si="32"/>
        <v>17706.190355490304</v>
      </c>
      <c r="G72" s="234">
        <f t="shared" si="32"/>
        <v>17898.073309829815</v>
      </c>
      <c r="H72" s="235">
        <f t="shared" si="32"/>
        <v>17945.649834288004</v>
      </c>
      <c r="I72" s="234">
        <f t="shared" si="32"/>
        <v>17856.967496033914</v>
      </c>
      <c r="J72" s="236">
        <f t="shared" si="32"/>
        <v>17646.986438458443</v>
      </c>
    </row>
    <row r="73" spans="1:10" ht="24" customHeight="1" thickBot="1" x14ac:dyDescent="0.3">
      <c r="A73" s="213" t="s">
        <v>87</v>
      </c>
      <c r="B73" s="237"/>
      <c r="C73" s="238">
        <f>Plán!$B$42</f>
        <v>7000</v>
      </c>
      <c r="D73" s="239">
        <f>Plán!$B$42</f>
        <v>7000</v>
      </c>
      <c r="E73" s="239">
        <f>Plán!$B$42</f>
        <v>7000</v>
      </c>
      <c r="F73" s="239">
        <f>Plán!$B$42</f>
        <v>7000</v>
      </c>
      <c r="G73" s="239">
        <f>Plán!$B$42</f>
        <v>7000</v>
      </c>
      <c r="H73" s="240">
        <f>Plán!$B$42</f>
        <v>7000</v>
      </c>
      <c r="I73" s="239">
        <f>Plán!$B$42</f>
        <v>7000</v>
      </c>
      <c r="J73" s="241">
        <f>Plán!$B$42</f>
        <v>7000</v>
      </c>
    </row>
    <row r="74" spans="1:10" ht="24" customHeight="1" x14ac:dyDescent="0.25">
      <c r="A74" s="200" t="s">
        <v>85</v>
      </c>
      <c r="B74" s="201"/>
      <c r="C74" s="211">
        <f>C72-C73</f>
        <v>9069.2897274633124</v>
      </c>
      <c r="D74" s="202">
        <f t="shared" ref="D74:J74" si="33">D72-D73</f>
        <v>9813.9793049677173</v>
      </c>
      <c r="E74" s="202">
        <f t="shared" si="33"/>
        <v>10351.747259337764</v>
      </c>
      <c r="F74" s="202">
        <f t="shared" si="33"/>
        <v>10706.190355490304</v>
      </c>
      <c r="G74" s="202">
        <f t="shared" si="33"/>
        <v>10898.073309829815</v>
      </c>
      <c r="H74" s="176">
        <f t="shared" si="33"/>
        <v>10945.649834288004</v>
      </c>
      <c r="I74" s="202">
        <f t="shared" si="33"/>
        <v>10856.967496033914</v>
      </c>
      <c r="J74" s="212">
        <f t="shared" si="33"/>
        <v>10646.986438458443</v>
      </c>
    </row>
    <row r="75" spans="1:10" ht="24" customHeight="1" thickBot="1" x14ac:dyDescent="0.3">
      <c r="A75" s="65" t="s">
        <v>83</v>
      </c>
      <c r="B75" s="63"/>
      <c r="C75" s="192">
        <f>Plán!$B$31-Předpoklady!$E$25</f>
        <v>1464</v>
      </c>
      <c r="D75" s="64">
        <f>Plán!$B$31-Předpoklady!$E$25</f>
        <v>1464</v>
      </c>
      <c r="E75" s="64">
        <f>Plán!$B$31-Předpoklady!$E$25</f>
        <v>1464</v>
      </c>
      <c r="F75" s="64">
        <f>Plán!$B$31-Předpoklady!$E$25</f>
        <v>1464</v>
      </c>
      <c r="G75" s="64">
        <f>Plán!$B$31-Předpoklady!$E$25</f>
        <v>1464</v>
      </c>
      <c r="H75" s="175">
        <f>Plán!$B$31-Předpoklady!$E$25</f>
        <v>1464</v>
      </c>
      <c r="I75" s="64">
        <f>Plán!$B$31-Předpoklady!$E$25</f>
        <v>1464</v>
      </c>
      <c r="J75" s="193">
        <f>Plán!$B$31-Předpoklady!$E$25</f>
        <v>1464</v>
      </c>
    </row>
    <row r="76" spans="1:10" ht="24" customHeight="1" thickBot="1" x14ac:dyDescent="0.3">
      <c r="A76" s="206" t="str">
        <f>"Hodnota netto k 1. 1. "&amp;FIXED(rok,0,1)</f>
        <v>Hodnota netto k 1. 1. 1</v>
      </c>
      <c r="B76" s="207"/>
      <c r="C76" s="209">
        <f t="shared" ref="C76:J76" si="34">C74+C75</f>
        <v>10533.289727463312</v>
      </c>
      <c r="D76" s="208">
        <f t="shared" si="34"/>
        <v>11277.979304967717</v>
      </c>
      <c r="E76" s="208">
        <f t="shared" si="34"/>
        <v>11815.747259337764</v>
      </c>
      <c r="F76" s="208">
        <f t="shared" si="34"/>
        <v>12170.190355490304</v>
      </c>
      <c r="G76" s="208">
        <f t="shared" si="34"/>
        <v>12362.073309829815</v>
      </c>
      <c r="H76" s="177">
        <f t="shared" si="34"/>
        <v>12409.649834288004</v>
      </c>
      <c r="I76" s="208">
        <f t="shared" si="34"/>
        <v>12320.967496033914</v>
      </c>
      <c r="J76" s="210">
        <f t="shared" si="34"/>
        <v>12110.986438458443</v>
      </c>
    </row>
    <row r="78" spans="1:10" x14ac:dyDescent="0.25">
      <c r="C78" s="68"/>
    </row>
  </sheetData>
  <phoneticPr fontId="0" type="noConversion"/>
  <printOptions gridLinesSet="0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Header>&amp;L&amp;10Mařík, M. a kol.: Metody oceňování podniku pro pokročilé
Ekopress 2023&amp;R&amp;10Příklad: Amortizační hodnota</oddHeader>
    <oddFooter>&amp;C&amp;10Str. &amp;P&amp;R&amp;10©  Miloš Mařík, Pavla Maříková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9"/>
  <sheetViews>
    <sheetView showGridLines="0" workbookViewId="0"/>
  </sheetViews>
  <sheetFormatPr defaultRowHeight="15.75" x14ac:dyDescent="0.25"/>
  <cols>
    <col min="1" max="1" width="20.625" customWidth="1"/>
    <col min="2" max="2" width="6.75" customWidth="1"/>
    <col min="3" max="10" width="7.5" customWidth="1"/>
    <col min="11" max="11" width="0.875" customWidth="1"/>
  </cols>
  <sheetData>
    <row r="1" spans="1:11" ht="18.75" x14ac:dyDescent="0.3">
      <c r="A1" s="1" t="s">
        <v>142</v>
      </c>
      <c r="B1" s="1"/>
    </row>
    <row r="2" spans="1:11" ht="19.5" thickBot="1" x14ac:dyDescent="0.35">
      <c r="A2" s="10" t="s">
        <v>65</v>
      </c>
      <c r="B2" s="1"/>
    </row>
    <row r="3" spans="1:11" ht="16.5" thickBot="1" x14ac:dyDescent="0.3">
      <c r="A3" s="181"/>
      <c r="B3" s="186">
        <f>C3-1</f>
        <v>0</v>
      </c>
      <c r="C3" s="178">
        <f>rok</f>
        <v>1</v>
      </c>
      <c r="D3" s="180">
        <f t="shared" ref="D3:J3" si="0">C3+1</f>
        <v>2</v>
      </c>
      <c r="E3" s="180">
        <f t="shared" si="0"/>
        <v>3</v>
      </c>
      <c r="F3" s="180">
        <f t="shared" si="0"/>
        <v>4</v>
      </c>
      <c r="G3" s="180">
        <f t="shared" si="0"/>
        <v>5</v>
      </c>
      <c r="H3" s="180">
        <f t="shared" si="0"/>
        <v>6</v>
      </c>
      <c r="I3" s="180">
        <f t="shared" si="0"/>
        <v>7</v>
      </c>
      <c r="J3" s="180">
        <f t="shared" si="0"/>
        <v>8</v>
      </c>
      <c r="K3" s="11"/>
    </row>
    <row r="4" spans="1:11" s="87" customFormat="1" ht="16.5" thickBot="1" x14ac:dyDescent="0.3">
      <c r="A4" s="252" t="s">
        <v>66</v>
      </c>
      <c r="B4" s="258">
        <f>Plán!B23</f>
        <v>15500</v>
      </c>
      <c r="C4" s="256">
        <f>Plán!C23</f>
        <v>14500</v>
      </c>
      <c r="D4" s="253">
        <f>Plán!D23</f>
        <v>13500</v>
      </c>
      <c r="E4" s="253">
        <f>Plán!E23</f>
        <v>12500</v>
      </c>
      <c r="F4" s="253">
        <f>Plán!F23</f>
        <v>11500</v>
      </c>
      <c r="G4" s="253">
        <f>Plán!G23</f>
        <v>10500</v>
      </c>
      <c r="H4" s="253">
        <f>Plán!H23</f>
        <v>9500</v>
      </c>
      <c r="I4" s="253">
        <f>Plán!I23</f>
        <v>8500</v>
      </c>
      <c r="J4" s="254">
        <f>Plán!J23</f>
        <v>7500</v>
      </c>
      <c r="K4" s="86"/>
    </row>
    <row r="5" spans="1:11" x14ac:dyDescent="0.25">
      <c r="A5" s="279" t="s">
        <v>67</v>
      </c>
      <c r="B5" s="272">
        <f>Plán!B29</f>
        <v>7800</v>
      </c>
      <c r="C5" s="300">
        <f>Plán!C29</f>
        <v>7699.9999999999991</v>
      </c>
      <c r="D5" s="274">
        <f>Plán!D29</f>
        <v>7699.9999999999991</v>
      </c>
      <c r="E5" s="274">
        <f>Plán!E29</f>
        <v>7699.9999999999991</v>
      </c>
      <c r="F5" s="274">
        <f>Plán!F29</f>
        <v>7699.9999999999991</v>
      </c>
      <c r="G5" s="274">
        <f>Plán!G29</f>
        <v>7699.9999999999991</v>
      </c>
      <c r="H5" s="274">
        <f>Plán!H29</f>
        <v>7699.9999999999991</v>
      </c>
      <c r="I5" s="274">
        <f>Plán!I29</f>
        <v>7699.9999999999991</v>
      </c>
      <c r="J5" s="275">
        <f>Plán!J29</f>
        <v>7699.9999999999991</v>
      </c>
      <c r="K5" s="11"/>
    </row>
    <row r="6" spans="1:11" x14ac:dyDescent="0.25">
      <c r="A6" s="11" t="s">
        <v>68</v>
      </c>
      <c r="B6" s="54">
        <f>Plán!B30</f>
        <v>2500</v>
      </c>
      <c r="C6" s="38">
        <f>Plán!C30</f>
        <v>2640</v>
      </c>
      <c r="D6" s="277">
        <f>Plán!D30</f>
        <v>2640</v>
      </c>
      <c r="E6" s="277">
        <f>Plán!E30</f>
        <v>2640</v>
      </c>
      <c r="F6" s="277">
        <f>Plán!F30</f>
        <v>2640</v>
      </c>
      <c r="G6" s="277">
        <f>Plán!G30</f>
        <v>2640</v>
      </c>
      <c r="H6" s="277">
        <f>Plán!H30</f>
        <v>2640</v>
      </c>
      <c r="I6" s="277">
        <f>Plán!I30</f>
        <v>2640</v>
      </c>
      <c r="J6" s="278">
        <f>Plán!J30</f>
        <v>2640</v>
      </c>
      <c r="K6" s="11"/>
    </row>
    <row r="7" spans="1:11" x14ac:dyDescent="0.25">
      <c r="A7" s="11" t="s">
        <v>69</v>
      </c>
      <c r="B7" s="54">
        <f>MIN(Předpoklady!$E$25,Plán!B31)</f>
        <v>3000</v>
      </c>
      <c r="C7" s="38">
        <f>MIN(Předpoklady!$E$25,Plán!C31)</f>
        <v>3000</v>
      </c>
      <c r="D7" s="277">
        <f>MIN(Předpoklady!$E$25,Plán!D31)</f>
        <v>3000</v>
      </c>
      <c r="E7" s="277">
        <f>MIN(Předpoklady!$E$25,Plán!E31)</f>
        <v>3000</v>
      </c>
      <c r="F7" s="277">
        <f>MIN(Předpoklady!$E$25,Plán!F31)</f>
        <v>3000</v>
      </c>
      <c r="G7" s="277">
        <f>MIN(Předpoklady!$E$25,Plán!G31)</f>
        <v>3000</v>
      </c>
      <c r="H7" s="277">
        <f>MIN(Předpoklady!$E$25,Plán!H31)</f>
        <v>3000</v>
      </c>
      <c r="I7" s="277">
        <f>MIN(Předpoklady!$E$25,Plán!I31)</f>
        <v>3000</v>
      </c>
      <c r="J7" s="278">
        <f>MIN(Předpoklady!$E$25,Plán!J31)</f>
        <v>3000</v>
      </c>
      <c r="K7" s="11"/>
    </row>
    <row r="8" spans="1:11" x14ac:dyDescent="0.25">
      <c r="A8" s="65" t="s">
        <v>70</v>
      </c>
      <c r="B8" s="190">
        <f>-Plán!B41</f>
        <v>-6200</v>
      </c>
      <c r="C8" s="189">
        <f>-Plán!C41</f>
        <v>-6160.0000000000009</v>
      </c>
      <c r="D8" s="64">
        <f>-Plán!D41</f>
        <v>-6160.0000000000009</v>
      </c>
      <c r="E8" s="64">
        <f>-Plán!E41</f>
        <v>-6160.0000000000009</v>
      </c>
      <c r="F8" s="64">
        <f>-Plán!F41</f>
        <v>-6160.0000000000009</v>
      </c>
      <c r="G8" s="64">
        <f>-Plán!G41</f>
        <v>-6160.0000000000009</v>
      </c>
      <c r="H8" s="64">
        <f>-Plán!H41</f>
        <v>-6160.0000000000009</v>
      </c>
      <c r="I8" s="64">
        <f>-Plán!I41</f>
        <v>-6160.0000000000009</v>
      </c>
      <c r="J8" s="193">
        <f>-Plán!J41</f>
        <v>-6160.0000000000009</v>
      </c>
      <c r="K8" s="11"/>
    </row>
    <row r="9" spans="1:11" s="87" customFormat="1" ht="16.5" thickBot="1" x14ac:dyDescent="0.3">
      <c r="A9" s="255" t="s">
        <v>71</v>
      </c>
      <c r="B9" s="191">
        <f t="shared" ref="B9:J9" si="1">SUM(B5:B8)</f>
        <v>7100</v>
      </c>
      <c r="C9" s="257">
        <f t="shared" si="1"/>
        <v>7179.9999999999991</v>
      </c>
      <c r="D9" s="194">
        <f t="shared" si="1"/>
        <v>7179.9999999999991</v>
      </c>
      <c r="E9" s="194">
        <f t="shared" si="1"/>
        <v>7179.9999999999991</v>
      </c>
      <c r="F9" s="194">
        <f t="shared" si="1"/>
        <v>7179.9999999999991</v>
      </c>
      <c r="G9" s="194">
        <f t="shared" si="1"/>
        <v>7179.9999999999991</v>
      </c>
      <c r="H9" s="194">
        <f t="shared" si="1"/>
        <v>7179.9999999999991</v>
      </c>
      <c r="I9" s="194">
        <f t="shared" si="1"/>
        <v>7179.9999999999991</v>
      </c>
      <c r="J9" s="195">
        <f t="shared" si="1"/>
        <v>7179.9999999999991</v>
      </c>
      <c r="K9" s="86"/>
    </row>
    <row r="10" spans="1:11" s="87" customFormat="1" ht="16.5" thickBot="1" x14ac:dyDescent="0.3">
      <c r="A10" s="301" t="s">
        <v>72</v>
      </c>
      <c r="B10" s="265">
        <f t="shared" ref="B10:J10" si="2">B4+B9</f>
        <v>22600</v>
      </c>
      <c r="C10" s="302">
        <f t="shared" si="2"/>
        <v>21680</v>
      </c>
      <c r="D10" s="267">
        <f t="shared" si="2"/>
        <v>20680</v>
      </c>
      <c r="E10" s="267">
        <f t="shared" si="2"/>
        <v>19680</v>
      </c>
      <c r="F10" s="267">
        <f t="shared" si="2"/>
        <v>18680</v>
      </c>
      <c r="G10" s="267">
        <f t="shared" si="2"/>
        <v>17680</v>
      </c>
      <c r="H10" s="267">
        <f t="shared" si="2"/>
        <v>16680</v>
      </c>
      <c r="I10" s="267">
        <f t="shared" si="2"/>
        <v>15680</v>
      </c>
      <c r="J10" s="268">
        <f t="shared" si="2"/>
        <v>14680</v>
      </c>
      <c r="K10" s="86"/>
    </row>
    <row r="11" spans="1:11" ht="18.75" x14ac:dyDescent="0.3">
      <c r="A11" s="1"/>
      <c r="B11" s="1"/>
    </row>
    <row r="12" spans="1:11" ht="16.5" thickBot="1" x14ac:dyDescent="0.3">
      <c r="A12" s="10" t="s">
        <v>46</v>
      </c>
      <c r="B12" s="10"/>
    </row>
    <row r="13" spans="1:11" ht="16.5" thickBot="1" x14ac:dyDescent="0.3">
      <c r="A13" s="181"/>
      <c r="B13" s="182"/>
      <c r="C13" s="180">
        <f>rok</f>
        <v>1</v>
      </c>
      <c r="D13" s="180">
        <f t="shared" ref="D13:J13" si="3">C13+1</f>
        <v>2</v>
      </c>
      <c r="E13" s="180">
        <f t="shared" si="3"/>
        <v>3</v>
      </c>
      <c r="F13" s="180">
        <f t="shared" si="3"/>
        <v>4</v>
      </c>
      <c r="G13" s="180">
        <f t="shared" si="3"/>
        <v>5</v>
      </c>
      <c r="H13" s="180">
        <f t="shared" si="3"/>
        <v>6</v>
      </c>
      <c r="I13" s="180">
        <f t="shared" si="3"/>
        <v>7</v>
      </c>
      <c r="J13" s="180">
        <f t="shared" si="3"/>
        <v>8</v>
      </c>
      <c r="K13" s="11"/>
    </row>
    <row r="14" spans="1:11" x14ac:dyDescent="0.25">
      <c r="A14" s="279" t="s">
        <v>74</v>
      </c>
      <c r="B14" s="280"/>
      <c r="C14" s="274">
        <f>Plán!C12</f>
        <v>2946</v>
      </c>
      <c r="D14" s="274">
        <f>Plán!D12</f>
        <v>2671.0999999999985</v>
      </c>
      <c r="E14" s="274">
        <f>Plán!E12</f>
        <v>2372.5241999999962</v>
      </c>
      <c r="F14" s="274">
        <f>Plán!F12</f>
        <v>2047.0896380000013</v>
      </c>
      <c r="G14" s="274">
        <f>Plán!G12</f>
        <v>1691.1453762599995</v>
      </c>
      <c r="H14" s="274">
        <f>Plán!H12</f>
        <v>1300.5025731589958</v>
      </c>
      <c r="I14" s="274">
        <f>Plán!I12</f>
        <v>870.35407372108239</v>
      </c>
      <c r="J14" s="275">
        <f>Plán!J12</f>
        <v>395.18194684369882</v>
      </c>
      <c r="K14" s="11"/>
    </row>
    <row r="15" spans="1:11" x14ac:dyDescent="0.25">
      <c r="A15" s="65" t="s">
        <v>37</v>
      </c>
      <c r="B15" s="63"/>
      <c r="C15" s="64">
        <f>C14*Předpoklady!$E$43</f>
        <v>589.20000000000005</v>
      </c>
      <c r="D15" s="64">
        <f>D14*Předpoklady!$E$43</f>
        <v>534.21999999999969</v>
      </c>
      <c r="E15" s="64">
        <f>E14*Předpoklady!$E$43</f>
        <v>474.50483999999926</v>
      </c>
      <c r="F15" s="64">
        <f>F14*Předpoklady!$E$43</f>
        <v>409.41792760000027</v>
      </c>
      <c r="G15" s="64">
        <f>G14*Předpoklady!$E$43</f>
        <v>338.22907525199992</v>
      </c>
      <c r="H15" s="64">
        <f>H14*Předpoklady!$E$43</f>
        <v>260.10051463179917</v>
      </c>
      <c r="I15" s="64">
        <f>I14*Předpoklady!$E$43</f>
        <v>174.07081474421648</v>
      </c>
      <c r="J15" s="193">
        <f>J14*Předpoklady!$E$43</f>
        <v>79.036389368739776</v>
      </c>
      <c r="K15" s="11"/>
    </row>
    <row r="16" spans="1:11" x14ac:dyDescent="0.25">
      <c r="A16" s="281" t="s">
        <v>73</v>
      </c>
      <c r="B16" s="282"/>
      <c r="C16" s="283">
        <f t="shared" ref="C16:J16" si="4">C14-C15</f>
        <v>2356.8000000000002</v>
      </c>
      <c r="D16" s="283">
        <f t="shared" si="4"/>
        <v>2136.8799999999987</v>
      </c>
      <c r="E16" s="283">
        <f t="shared" si="4"/>
        <v>1898.0193599999971</v>
      </c>
      <c r="F16" s="283">
        <f t="shared" si="4"/>
        <v>1637.6717104000011</v>
      </c>
      <c r="G16" s="283">
        <f t="shared" si="4"/>
        <v>1352.9163010079997</v>
      </c>
      <c r="H16" s="283">
        <f t="shared" si="4"/>
        <v>1040.4020585271967</v>
      </c>
      <c r="I16" s="283">
        <f t="shared" si="4"/>
        <v>696.28325897686591</v>
      </c>
      <c r="J16" s="284">
        <f t="shared" si="4"/>
        <v>316.14555747495905</v>
      </c>
      <c r="K16" s="11"/>
    </row>
    <row r="17" spans="1:11" x14ac:dyDescent="0.25">
      <c r="A17" s="11" t="s">
        <v>4</v>
      </c>
      <c r="B17" s="285"/>
      <c r="C17" s="277">
        <f>Plán!C10</f>
        <v>1000</v>
      </c>
      <c r="D17" s="277">
        <f>Plán!D10</f>
        <v>1000</v>
      </c>
      <c r="E17" s="277">
        <f>Plán!E10</f>
        <v>1000</v>
      </c>
      <c r="F17" s="277">
        <f>Plán!F10</f>
        <v>1000</v>
      </c>
      <c r="G17" s="277">
        <f>Plán!G10</f>
        <v>1000</v>
      </c>
      <c r="H17" s="277">
        <f>Plán!H10</f>
        <v>1000</v>
      </c>
      <c r="I17" s="277">
        <f>Plán!I10</f>
        <v>1000</v>
      </c>
      <c r="J17" s="278">
        <f>Plán!J10</f>
        <v>1000</v>
      </c>
      <c r="K17" s="11"/>
    </row>
    <row r="18" spans="1:11" x14ac:dyDescent="0.25">
      <c r="A18" s="11" t="s">
        <v>75</v>
      </c>
      <c r="B18" s="285"/>
      <c r="C18" s="277">
        <f t="shared" ref="C18:J18" si="5">-(C4-B4+C17)</f>
        <v>0</v>
      </c>
      <c r="D18" s="277">
        <f t="shared" si="5"/>
        <v>0</v>
      </c>
      <c r="E18" s="277">
        <f t="shared" si="5"/>
        <v>0</v>
      </c>
      <c r="F18" s="277">
        <f t="shared" si="5"/>
        <v>0</v>
      </c>
      <c r="G18" s="277">
        <f t="shared" si="5"/>
        <v>0</v>
      </c>
      <c r="H18" s="277">
        <f t="shared" si="5"/>
        <v>0</v>
      </c>
      <c r="I18" s="277">
        <f t="shared" si="5"/>
        <v>0</v>
      </c>
      <c r="J18" s="278">
        <f t="shared" si="5"/>
        <v>0</v>
      </c>
      <c r="K18" s="11"/>
    </row>
    <row r="19" spans="1:11" x14ac:dyDescent="0.25">
      <c r="A19" s="65" t="s">
        <v>76</v>
      </c>
      <c r="B19" s="63"/>
      <c r="C19" s="64">
        <f t="shared" ref="C19:J19" si="6">-(C9-B9)</f>
        <v>-79.999999999999091</v>
      </c>
      <c r="D19" s="64">
        <f t="shared" si="6"/>
        <v>0</v>
      </c>
      <c r="E19" s="64">
        <f t="shared" si="6"/>
        <v>0</v>
      </c>
      <c r="F19" s="64">
        <f t="shared" si="6"/>
        <v>0</v>
      </c>
      <c r="G19" s="64">
        <f t="shared" si="6"/>
        <v>0</v>
      </c>
      <c r="H19" s="64">
        <f t="shared" si="6"/>
        <v>0</v>
      </c>
      <c r="I19" s="64">
        <f t="shared" si="6"/>
        <v>0</v>
      </c>
      <c r="J19" s="193">
        <f t="shared" si="6"/>
        <v>0</v>
      </c>
      <c r="K19" s="11"/>
    </row>
    <row r="20" spans="1:11" s="87" customFormat="1" ht="16.5" thickBot="1" x14ac:dyDescent="0.3">
      <c r="A20" s="286" t="s">
        <v>77</v>
      </c>
      <c r="B20" s="287"/>
      <c r="C20" s="288">
        <f t="shared" ref="C20:J20" si="7">SUM(C16:C19)</f>
        <v>3276.8000000000011</v>
      </c>
      <c r="D20" s="288">
        <f t="shared" si="7"/>
        <v>3136.8799999999987</v>
      </c>
      <c r="E20" s="288">
        <f t="shared" si="7"/>
        <v>2898.0193599999971</v>
      </c>
      <c r="F20" s="288">
        <f t="shared" si="7"/>
        <v>2637.6717104000008</v>
      </c>
      <c r="G20" s="288">
        <f t="shared" si="7"/>
        <v>2352.9163010079997</v>
      </c>
      <c r="H20" s="288">
        <f t="shared" si="7"/>
        <v>2040.4020585271967</v>
      </c>
      <c r="I20" s="288">
        <f t="shared" si="7"/>
        <v>1696.2832589768659</v>
      </c>
      <c r="J20" s="288">
        <f t="shared" si="7"/>
        <v>1316.1455574749591</v>
      </c>
      <c r="K20" s="86"/>
    </row>
    <row r="21" spans="1:11" x14ac:dyDescent="0.25">
      <c r="A21" s="66" t="s">
        <v>78</v>
      </c>
      <c r="B21" s="220"/>
      <c r="C21" s="222">
        <f>-Plán!C13*(1-Předpoklady!$E$43)</f>
        <v>-336</v>
      </c>
      <c r="D21" s="222">
        <f>-Plán!D13*(1-Předpoklady!$E$43)</f>
        <v>-336</v>
      </c>
      <c r="E21" s="222">
        <f>-Plán!E13*(1-Předpoklady!$E$43)</f>
        <v>-336</v>
      </c>
      <c r="F21" s="222">
        <f>-Plán!F13*(1-Předpoklady!$E$43)</f>
        <v>-336</v>
      </c>
      <c r="G21" s="222">
        <f>-Plán!G13*(1-Předpoklady!$E$43)</f>
        <v>-336</v>
      </c>
      <c r="H21" s="222">
        <f>-Plán!H13*(1-Předpoklady!$E$43)</f>
        <v>-336</v>
      </c>
      <c r="I21" s="222">
        <f>-Plán!I13*(1-Předpoklady!$E$43)</f>
        <v>-288</v>
      </c>
      <c r="J21" s="224">
        <f>-Plán!J13*(1-Předpoklady!$E$43)</f>
        <v>-240</v>
      </c>
      <c r="K21" s="11"/>
    </row>
    <row r="22" spans="1:11" ht="16.5" thickBot="1" x14ac:dyDescent="0.3">
      <c r="A22" s="65" t="s">
        <v>79</v>
      </c>
      <c r="B22" s="63"/>
      <c r="C22" s="64">
        <f>Plán!C42-Plán!B42</f>
        <v>0</v>
      </c>
      <c r="D22" s="64">
        <f>Plán!D42-Plán!C42</f>
        <v>0</v>
      </c>
      <c r="E22" s="64">
        <f>Plán!E42-Plán!D42</f>
        <v>0</v>
      </c>
      <c r="F22" s="64">
        <f>Plán!F42-Plán!E42</f>
        <v>0</v>
      </c>
      <c r="G22" s="64">
        <f>Plán!G42-Plán!F42</f>
        <v>0</v>
      </c>
      <c r="H22" s="64">
        <f>Plán!H42-Plán!G42</f>
        <v>-1000</v>
      </c>
      <c r="I22" s="64">
        <f>Plán!I42-Plán!H42</f>
        <v>-1000</v>
      </c>
      <c r="J22" s="193">
        <f>Plán!J42-Plán!I42</f>
        <v>-1000</v>
      </c>
      <c r="K22" s="11"/>
    </row>
    <row r="23" spans="1:11" ht="16.5" thickBot="1" x14ac:dyDescent="0.3">
      <c r="A23" s="203" t="s">
        <v>47</v>
      </c>
      <c r="B23" s="204"/>
      <c r="C23" s="205">
        <f t="shared" ref="C23:J23" si="8">SUM(C20:C22)</f>
        <v>2940.8000000000011</v>
      </c>
      <c r="D23" s="205">
        <f t="shared" si="8"/>
        <v>2800.8799999999987</v>
      </c>
      <c r="E23" s="205">
        <f t="shared" si="8"/>
        <v>2562.0193599999971</v>
      </c>
      <c r="F23" s="205">
        <f t="shared" si="8"/>
        <v>2301.6717104000008</v>
      </c>
      <c r="G23" s="205">
        <f t="shared" si="8"/>
        <v>2016.9163010079997</v>
      </c>
      <c r="H23" s="205">
        <f t="shared" si="8"/>
        <v>704.40205852719669</v>
      </c>
      <c r="I23" s="205">
        <f t="shared" si="8"/>
        <v>408.28325897686591</v>
      </c>
      <c r="J23" s="289">
        <f t="shared" si="8"/>
        <v>76.145557474959105</v>
      </c>
      <c r="K23" s="11"/>
    </row>
    <row r="25" spans="1:11" ht="16.5" thickBot="1" x14ac:dyDescent="0.3">
      <c r="A25" s="10" t="s">
        <v>48</v>
      </c>
      <c r="B25" s="10"/>
    </row>
    <row r="26" spans="1:11" ht="16.5" thickBot="1" x14ac:dyDescent="0.3">
      <c r="A26" s="181"/>
      <c r="B26" s="182"/>
      <c r="C26" s="180">
        <f>rok</f>
        <v>1</v>
      </c>
      <c r="D26" s="180">
        <f t="shared" ref="D26:J26" si="9">C26+1</f>
        <v>2</v>
      </c>
      <c r="E26" s="180">
        <f t="shared" si="9"/>
        <v>3</v>
      </c>
      <c r="F26" s="180">
        <f t="shared" si="9"/>
        <v>4</v>
      </c>
      <c r="G26" s="180">
        <f t="shared" si="9"/>
        <v>5</v>
      </c>
      <c r="H26" s="180">
        <f t="shared" si="9"/>
        <v>6</v>
      </c>
      <c r="I26" s="180">
        <f t="shared" si="9"/>
        <v>7</v>
      </c>
      <c r="J26" s="180">
        <f t="shared" si="9"/>
        <v>8</v>
      </c>
      <c r="K26" s="11"/>
    </row>
    <row r="27" spans="1:11" x14ac:dyDescent="0.25">
      <c r="A27" s="290" t="s">
        <v>31</v>
      </c>
      <c r="B27" s="280"/>
      <c r="C27" s="274">
        <f>Předpoklady!$E33*Plán!C25</f>
        <v>3300.0000000000005</v>
      </c>
      <c r="D27" s="274">
        <f>Předpoklady!$E33*Plán!D25</f>
        <v>3300.0000000000005</v>
      </c>
      <c r="E27" s="274">
        <f>Předpoklady!$E33*Plán!E25</f>
        <v>3300.0000000000005</v>
      </c>
      <c r="F27" s="274">
        <f>Předpoklady!$E33*Plán!F25</f>
        <v>3300.0000000000005</v>
      </c>
      <c r="G27" s="274">
        <f>Předpoklady!$E33*Plán!G25</f>
        <v>3300.0000000000005</v>
      </c>
      <c r="H27" s="274">
        <f>Předpoklady!$E33*Plán!H25</f>
        <v>3300.0000000000005</v>
      </c>
      <c r="I27" s="274">
        <f>Předpoklady!$E33*Plán!I25</f>
        <v>3300.0000000000005</v>
      </c>
      <c r="J27" s="275">
        <f>Předpoklady!$E33*Plán!J25</f>
        <v>3300.0000000000005</v>
      </c>
      <c r="K27" s="11"/>
    </row>
    <row r="28" spans="1:11" x14ac:dyDescent="0.25">
      <c r="A28" s="291" t="s">
        <v>32</v>
      </c>
      <c r="B28" s="285"/>
      <c r="C28" s="277">
        <f>Předpoklady!$E34*Plán!C26</f>
        <v>5600</v>
      </c>
      <c r="D28" s="277">
        <f>Předpoklady!$E34*Plán!D26</f>
        <v>5250</v>
      </c>
      <c r="E28" s="277">
        <f>Předpoklady!$E34*Plán!E26</f>
        <v>4900</v>
      </c>
      <c r="F28" s="277">
        <f>Předpoklady!$E34*Plán!F26</f>
        <v>4550</v>
      </c>
      <c r="G28" s="277">
        <f>Předpoklady!$E34*Plán!G26</f>
        <v>4200</v>
      </c>
      <c r="H28" s="277">
        <f>Předpoklady!$E34*Plán!H26</f>
        <v>3849.9999999999995</v>
      </c>
      <c r="I28" s="277">
        <f>Předpoklady!$E34*Plán!I26</f>
        <v>3500</v>
      </c>
      <c r="J28" s="278">
        <f>Předpoklady!$E34*Plán!J26</f>
        <v>3150</v>
      </c>
      <c r="K28" s="11"/>
    </row>
    <row r="29" spans="1:11" x14ac:dyDescent="0.25">
      <c r="A29" s="291" t="s">
        <v>49</v>
      </c>
      <c r="B29" s="285"/>
      <c r="C29" s="277">
        <f>Předpoklady!$E35*Plán!C27</f>
        <v>700</v>
      </c>
      <c r="D29" s="277">
        <f>Předpoklady!$E35*Plán!D27</f>
        <v>600</v>
      </c>
      <c r="E29" s="277">
        <f>Předpoklady!$E35*Plán!E27</f>
        <v>500</v>
      </c>
      <c r="F29" s="277">
        <f>Předpoklady!$E35*Plán!F27</f>
        <v>400</v>
      </c>
      <c r="G29" s="277">
        <f>Předpoklady!$E35*Plán!G27</f>
        <v>300</v>
      </c>
      <c r="H29" s="277">
        <f>Předpoklady!$E35*Plán!H27</f>
        <v>200</v>
      </c>
      <c r="I29" s="277">
        <f>Předpoklady!$E35*Plán!I27</f>
        <v>100</v>
      </c>
      <c r="J29" s="278">
        <f>Předpoklady!$E35*Plán!J27</f>
        <v>0</v>
      </c>
      <c r="K29" s="11"/>
    </row>
    <row r="30" spans="1:11" x14ac:dyDescent="0.25">
      <c r="A30" s="291" t="s">
        <v>59</v>
      </c>
      <c r="B30" s="285"/>
      <c r="C30" s="277">
        <f>Předpoklady!$E36*Plán!C29</f>
        <v>6160</v>
      </c>
      <c r="D30" s="277">
        <f>Předpoklady!$E36*Plán!D29</f>
        <v>6160</v>
      </c>
      <c r="E30" s="277">
        <f>Předpoklady!$E36*Plán!E29</f>
        <v>6160</v>
      </c>
      <c r="F30" s="277">
        <f>Předpoklady!$E36*Plán!F29</f>
        <v>6160</v>
      </c>
      <c r="G30" s="277">
        <f>Předpoklady!$E36*Plán!G29</f>
        <v>6160</v>
      </c>
      <c r="H30" s="277">
        <f>Předpoklady!$E36*Plán!H29</f>
        <v>6160</v>
      </c>
      <c r="I30" s="277">
        <f>Předpoklady!$E36*Plán!I29</f>
        <v>6160</v>
      </c>
      <c r="J30" s="278">
        <f>Předpoklady!$E36*Plán!J29</f>
        <v>6160</v>
      </c>
      <c r="K30" s="11"/>
    </row>
    <row r="31" spans="1:11" x14ac:dyDescent="0.25">
      <c r="A31" s="291" t="s">
        <v>27</v>
      </c>
      <c r="B31" s="285"/>
      <c r="C31" s="277">
        <f>Předpoklady!$E37*Plán!C30</f>
        <v>2112</v>
      </c>
      <c r="D31" s="277">
        <f>Předpoklady!$E37*Plán!D30</f>
        <v>2112</v>
      </c>
      <c r="E31" s="277">
        <f>Předpoklady!$E37*Plán!E30</f>
        <v>2112</v>
      </c>
      <c r="F31" s="277">
        <f>Předpoklady!$E37*Plán!F30</f>
        <v>2112</v>
      </c>
      <c r="G31" s="277">
        <f>Předpoklady!$E37*Plán!G30</f>
        <v>2112</v>
      </c>
      <c r="H31" s="277">
        <f>Předpoklady!$E37*Plán!H30</f>
        <v>2112</v>
      </c>
      <c r="I31" s="277">
        <f>Předpoklady!$E37*Plán!I30</f>
        <v>2112</v>
      </c>
      <c r="J31" s="278">
        <f>Předpoklady!$E37*Plán!J30</f>
        <v>2112</v>
      </c>
      <c r="K31" s="11"/>
    </row>
    <row r="32" spans="1:11" x14ac:dyDescent="0.25">
      <c r="A32" s="62" t="s">
        <v>81</v>
      </c>
      <c r="B32" s="63"/>
      <c r="C32" s="64">
        <f>Předpoklady!$E$25</f>
        <v>3000</v>
      </c>
      <c r="D32" s="64">
        <f>Předpoklady!$E$25</f>
        <v>3000</v>
      </c>
      <c r="E32" s="64">
        <f>Předpoklady!$E$25</f>
        <v>3000</v>
      </c>
      <c r="F32" s="64">
        <f>Předpoklady!$E$25</f>
        <v>3000</v>
      </c>
      <c r="G32" s="64">
        <f>Předpoklady!$E$25</f>
        <v>3000</v>
      </c>
      <c r="H32" s="64">
        <f>Předpoklady!$E$25</f>
        <v>3000</v>
      </c>
      <c r="I32" s="64">
        <f>Předpoklady!$E$25</f>
        <v>3000</v>
      </c>
      <c r="J32" s="193">
        <f>Předpoklady!$E$25</f>
        <v>3000</v>
      </c>
      <c r="K32" s="11"/>
    </row>
    <row r="33" spans="1:11" ht="16.5" thickBot="1" x14ac:dyDescent="0.3">
      <c r="A33" s="62" t="s">
        <v>50</v>
      </c>
      <c r="B33" s="63"/>
      <c r="C33" s="64">
        <f>-Plán!C41</f>
        <v>-6160.0000000000009</v>
      </c>
      <c r="D33" s="64">
        <f>-Plán!D41</f>
        <v>-6160.0000000000009</v>
      </c>
      <c r="E33" s="64">
        <f>-Plán!E41</f>
        <v>-6160.0000000000009</v>
      </c>
      <c r="F33" s="64">
        <f>-Plán!F41</f>
        <v>-6160.0000000000009</v>
      </c>
      <c r="G33" s="64">
        <f>-Plán!G41</f>
        <v>-6160.0000000000009</v>
      </c>
      <c r="H33" s="64">
        <f>-Plán!H41</f>
        <v>-6160.0000000000009</v>
      </c>
      <c r="I33" s="64">
        <f>-Plán!I41</f>
        <v>-6160.0000000000009</v>
      </c>
      <c r="J33" s="64">
        <f>-Plán!J41</f>
        <v>-6160.0000000000009</v>
      </c>
      <c r="K33" s="11"/>
    </row>
    <row r="34" spans="1:11" ht="16.5" thickBot="1" x14ac:dyDescent="0.3">
      <c r="A34" s="203" t="s">
        <v>100</v>
      </c>
      <c r="B34" s="204"/>
      <c r="C34" s="205">
        <f t="shared" ref="C34:J34" si="10">SUM(C27:C33)</f>
        <v>14712</v>
      </c>
      <c r="D34" s="205">
        <f t="shared" si="10"/>
        <v>14262</v>
      </c>
      <c r="E34" s="205">
        <f t="shared" si="10"/>
        <v>13812</v>
      </c>
      <c r="F34" s="205">
        <f t="shared" si="10"/>
        <v>13362</v>
      </c>
      <c r="G34" s="205">
        <f t="shared" si="10"/>
        <v>12912</v>
      </c>
      <c r="H34" s="205">
        <f t="shared" si="10"/>
        <v>12462</v>
      </c>
      <c r="I34" s="205">
        <f t="shared" si="10"/>
        <v>12012</v>
      </c>
      <c r="J34" s="205">
        <f t="shared" si="10"/>
        <v>11562</v>
      </c>
      <c r="K34" s="11"/>
    </row>
    <row r="35" spans="1:11" ht="16.5" thickBot="1" x14ac:dyDescent="0.3">
      <c r="A35" s="62" t="s">
        <v>51</v>
      </c>
      <c r="B35" s="63"/>
      <c r="C35" s="64">
        <f>-Plán!C42</f>
        <v>-7000</v>
      </c>
      <c r="D35" s="64">
        <f>-Plán!D42</f>
        <v>-7000</v>
      </c>
      <c r="E35" s="64">
        <f>-Plán!E42</f>
        <v>-7000</v>
      </c>
      <c r="F35" s="64">
        <f>-Plán!F42</f>
        <v>-7000</v>
      </c>
      <c r="G35" s="64">
        <f>-Plán!G42</f>
        <v>-7000</v>
      </c>
      <c r="H35" s="64">
        <f>-Plán!H42</f>
        <v>-6000</v>
      </c>
      <c r="I35" s="64">
        <f>-Plán!I42</f>
        <v>-5000</v>
      </c>
      <c r="J35" s="64">
        <f>-Plán!J42</f>
        <v>-4000</v>
      </c>
      <c r="K35" s="11"/>
    </row>
    <row r="36" spans="1:11" ht="16.5" thickBot="1" x14ac:dyDescent="0.3">
      <c r="A36" s="203" t="s">
        <v>101</v>
      </c>
      <c r="B36" s="204"/>
      <c r="C36" s="205">
        <f t="shared" ref="C36:J36" si="11">C34+C35</f>
        <v>7712</v>
      </c>
      <c r="D36" s="205">
        <f t="shared" si="11"/>
        <v>7262</v>
      </c>
      <c r="E36" s="205">
        <f t="shared" si="11"/>
        <v>6812</v>
      </c>
      <c r="F36" s="205">
        <f t="shared" si="11"/>
        <v>6362</v>
      </c>
      <c r="G36" s="205">
        <f t="shared" si="11"/>
        <v>5912</v>
      </c>
      <c r="H36" s="205">
        <f t="shared" si="11"/>
        <v>6462</v>
      </c>
      <c r="I36" s="205">
        <f t="shared" si="11"/>
        <v>7012</v>
      </c>
      <c r="J36" s="205">
        <f t="shared" si="11"/>
        <v>7562</v>
      </c>
      <c r="K36" s="11"/>
    </row>
    <row r="37" spans="1:11" x14ac:dyDescent="0.25">
      <c r="A37" s="89"/>
      <c r="B37" s="89"/>
      <c r="C37" s="90"/>
      <c r="D37" s="90"/>
      <c r="E37" s="90"/>
      <c r="F37" s="90"/>
      <c r="G37" s="90"/>
      <c r="H37" s="90"/>
      <c r="I37" s="90"/>
      <c r="J37" s="90"/>
    </row>
    <row r="38" spans="1:11" x14ac:dyDescent="0.25">
      <c r="A38" s="10" t="s">
        <v>117</v>
      </c>
      <c r="B38" s="89"/>
      <c r="C38" s="90"/>
      <c r="D38" s="90"/>
      <c r="E38" s="90"/>
      <c r="F38" s="90"/>
      <c r="G38" s="90"/>
      <c r="H38" s="90"/>
      <c r="I38" s="90"/>
      <c r="J38" s="90"/>
    </row>
    <row r="39" spans="1:11" x14ac:dyDescent="0.25">
      <c r="A39" s="127" t="s">
        <v>118</v>
      </c>
      <c r="B39" s="128"/>
      <c r="C39" s="129">
        <f>Ocenění!C71</f>
        <v>79.245283018867923</v>
      </c>
      <c r="D39" s="129">
        <f>Ocenění!D71</f>
        <v>154.00498398006408</v>
      </c>
      <c r="E39" s="129">
        <f>Ocenění!E71</f>
        <v>224.53300375477741</v>
      </c>
      <c r="F39" s="129">
        <f>Ocenění!F71</f>
        <v>291.06887146677116</v>
      </c>
      <c r="G39" s="129">
        <f>Ocenění!G71</f>
        <v>353.83855798751995</v>
      </c>
      <c r="H39" s="129">
        <f>Ocenění!H71</f>
        <v>413.05524338445275</v>
      </c>
      <c r="I39" s="129">
        <f>Ocenění!I71</f>
        <v>460.93935556526094</v>
      </c>
      <c r="J39" s="129">
        <f>Ocenění!J71</f>
        <v>498.58409784577054</v>
      </c>
    </row>
    <row r="40" spans="1:11" x14ac:dyDescent="0.25">
      <c r="A40" s="92"/>
      <c r="B40" s="89"/>
      <c r="C40" s="68"/>
      <c r="D40" s="68"/>
      <c r="E40" s="68"/>
      <c r="F40" s="68"/>
      <c r="G40" s="68"/>
      <c r="H40" s="68"/>
      <c r="I40" s="68"/>
      <c r="J40" s="68"/>
    </row>
    <row r="41" spans="1:11" x14ac:dyDescent="0.25">
      <c r="A41" s="10" t="s">
        <v>143</v>
      </c>
      <c r="B41" s="89"/>
      <c r="C41" s="247">
        <v>0.125</v>
      </c>
      <c r="D41" s="68"/>
      <c r="E41" s="68"/>
      <c r="F41" s="68"/>
      <c r="G41" s="68"/>
      <c r="H41" s="68"/>
      <c r="I41" s="68"/>
      <c r="J41" s="68"/>
    </row>
    <row r="42" spans="1:11" x14ac:dyDescent="0.25">
      <c r="A42" s="10"/>
      <c r="B42" s="89"/>
      <c r="C42" s="90"/>
      <c r="D42" s="90"/>
      <c r="E42" s="90"/>
      <c r="F42" s="90"/>
      <c r="G42" s="90"/>
      <c r="H42" s="90"/>
      <c r="I42" s="90"/>
      <c r="J42" s="90"/>
    </row>
    <row r="43" spans="1:11" x14ac:dyDescent="0.25">
      <c r="A43" s="10" t="str">
        <f>"Hodnota podniku k 1. 1. "&amp;FIXED(rok,0,1)&amp;" v závislosti na roku likvidace (likvidace k 31. 12.)"</f>
        <v>Hodnota podniku k 1. 1. 1 v závislosti na roku likvidace (likvidace k 31. 12.)</v>
      </c>
    </row>
    <row r="44" spans="1:11" ht="16.5" thickBot="1" x14ac:dyDescent="0.3">
      <c r="A44" s="10" t="s">
        <v>91</v>
      </c>
    </row>
    <row r="45" spans="1:11" ht="16.5" thickBot="1" x14ac:dyDescent="0.3">
      <c r="A45" s="183"/>
      <c r="B45" s="182"/>
      <c r="C45" s="180">
        <f>rok</f>
        <v>1</v>
      </c>
      <c r="D45" s="180">
        <f t="shared" ref="D45:J45" si="12">C45+1</f>
        <v>2</v>
      </c>
      <c r="E45" s="180">
        <f t="shared" si="12"/>
        <v>3</v>
      </c>
      <c r="F45" s="180">
        <f t="shared" si="12"/>
        <v>4</v>
      </c>
      <c r="G45" s="180">
        <f t="shared" si="12"/>
        <v>5</v>
      </c>
      <c r="H45" s="180">
        <f t="shared" si="12"/>
        <v>6</v>
      </c>
      <c r="I45" s="180">
        <f t="shared" si="12"/>
        <v>7</v>
      </c>
      <c r="J45" s="180">
        <f t="shared" si="12"/>
        <v>8</v>
      </c>
      <c r="K45" s="11"/>
    </row>
    <row r="46" spans="1:11" s="92" customFormat="1" x14ac:dyDescent="0.25">
      <c r="A46" s="93" t="s">
        <v>119</v>
      </c>
      <c r="B46" s="94"/>
      <c r="C46" s="134">
        <f>C23</f>
        <v>2940.8000000000011</v>
      </c>
      <c r="D46" s="134">
        <f t="shared" ref="D46:J46" si="13">D23</f>
        <v>2800.8799999999987</v>
      </c>
      <c r="E46" s="134">
        <f t="shared" si="13"/>
        <v>2562.0193599999971</v>
      </c>
      <c r="F46" s="134">
        <f t="shared" si="13"/>
        <v>2301.6717104000008</v>
      </c>
      <c r="G46" s="134">
        <f t="shared" si="13"/>
        <v>2016.9163010079997</v>
      </c>
      <c r="H46" s="134">
        <f t="shared" si="13"/>
        <v>704.40205852719669</v>
      </c>
      <c r="I46" s="134">
        <f t="shared" si="13"/>
        <v>408.28325897686591</v>
      </c>
      <c r="J46" s="134">
        <f t="shared" si="13"/>
        <v>76.145557474959105</v>
      </c>
      <c r="K46" s="91"/>
    </row>
    <row r="47" spans="1:11" s="92" customFormat="1" ht="16.5" thickBot="1" x14ac:dyDescent="0.3">
      <c r="A47" s="102" t="s">
        <v>93</v>
      </c>
      <c r="B47" s="103"/>
      <c r="C47" s="135">
        <f>C36</f>
        <v>7712</v>
      </c>
      <c r="D47" s="136">
        <f t="shared" ref="D47:J47" si="14">D36</f>
        <v>7262</v>
      </c>
      <c r="E47" s="136">
        <f t="shared" si="14"/>
        <v>6812</v>
      </c>
      <c r="F47" s="136">
        <f t="shared" si="14"/>
        <v>6362</v>
      </c>
      <c r="G47" s="136">
        <f t="shared" si="14"/>
        <v>5912</v>
      </c>
      <c r="H47" s="136">
        <f t="shared" si="14"/>
        <v>6462</v>
      </c>
      <c r="I47" s="136">
        <f t="shared" si="14"/>
        <v>7012</v>
      </c>
      <c r="J47" s="137">
        <f t="shared" si="14"/>
        <v>7562</v>
      </c>
      <c r="K47" s="91"/>
    </row>
    <row r="48" spans="1:11" s="92" customFormat="1" ht="16.5" thickBot="1" x14ac:dyDescent="0.3">
      <c r="A48" s="91" t="s">
        <v>121</v>
      </c>
      <c r="B48" s="133"/>
      <c r="C48" s="138">
        <f>Ocenění!C69</f>
        <v>84</v>
      </c>
      <c r="D48" s="136">
        <f>Ocenění!D69</f>
        <v>84</v>
      </c>
      <c r="E48" s="136">
        <f>Ocenění!E69</f>
        <v>84</v>
      </c>
      <c r="F48" s="136">
        <f>Ocenění!F69</f>
        <v>84</v>
      </c>
      <c r="G48" s="136">
        <f>Ocenění!G69</f>
        <v>84</v>
      </c>
      <c r="H48" s="136">
        <f>Ocenění!H69</f>
        <v>84</v>
      </c>
      <c r="I48" s="136">
        <f>Ocenění!I69</f>
        <v>72</v>
      </c>
      <c r="J48" s="136">
        <f>Ocenění!J69</f>
        <v>60</v>
      </c>
      <c r="K48" s="91"/>
    </row>
    <row r="49" spans="1:16" s="92" customFormat="1" x14ac:dyDescent="0.25">
      <c r="A49" s="198" t="s">
        <v>94</v>
      </c>
      <c r="B49" s="199">
        <f>C45</f>
        <v>1</v>
      </c>
      <c r="C49" s="111"/>
      <c r="D49" s="97"/>
      <c r="E49" s="97"/>
      <c r="F49" s="97"/>
      <c r="G49" s="97"/>
      <c r="H49" s="97"/>
      <c r="I49" s="97"/>
      <c r="J49" s="99"/>
      <c r="K49" s="91"/>
    </row>
    <row r="50" spans="1:16" s="92" customFormat="1" x14ac:dyDescent="0.25">
      <c r="A50" s="65" t="s">
        <v>120</v>
      </c>
      <c r="B50" s="63"/>
      <c r="C50" s="114">
        <f>C48/(1+Předpoklady!$E$40)</f>
        <v>79.245283018867923</v>
      </c>
      <c r="D50" s="131"/>
      <c r="E50" s="131"/>
      <c r="F50" s="131"/>
      <c r="G50" s="131"/>
      <c r="H50" s="131"/>
      <c r="I50" s="131"/>
      <c r="J50" s="132"/>
      <c r="K50" s="91"/>
    </row>
    <row r="51" spans="1:16" s="92" customFormat="1" x14ac:dyDescent="0.25">
      <c r="A51" s="95" t="s">
        <v>97</v>
      </c>
      <c r="B51" s="94"/>
      <c r="C51" s="130">
        <f ca="1">Iterace!$C$41+(Iterace!$C$41-Předpoklady!$E$40)*(Iterace!C53-C50)/Iterace!C52</f>
        <v>0.17460135469501609</v>
      </c>
      <c r="D51" s="97"/>
      <c r="E51" s="97"/>
      <c r="F51" s="97"/>
      <c r="G51" s="97"/>
      <c r="H51" s="97"/>
      <c r="I51" s="97"/>
      <c r="J51" s="99"/>
      <c r="K51" s="91"/>
      <c r="L51" s="126"/>
    </row>
    <row r="52" spans="1:16" s="92" customFormat="1" x14ac:dyDescent="0.25">
      <c r="A52" s="85" t="s">
        <v>160</v>
      </c>
      <c r="B52" s="94"/>
      <c r="C52" s="197">
        <f ca="1">(C$47+C$46)/(1+C51)</f>
        <v>9069.2897274633142</v>
      </c>
      <c r="D52" s="97"/>
      <c r="E52" s="97"/>
      <c r="F52" s="97"/>
      <c r="G52" s="97"/>
      <c r="H52" s="97"/>
      <c r="I52" s="97"/>
      <c r="J52" s="99"/>
      <c r="K52" s="91"/>
    </row>
    <row r="53" spans="1:16" s="92" customFormat="1" ht="16.5" thickBot="1" x14ac:dyDescent="0.3">
      <c r="A53" s="93" t="s">
        <v>95</v>
      </c>
      <c r="B53" s="96"/>
      <c r="C53" s="114">
        <f>Plán!B$42</f>
        <v>7000</v>
      </c>
      <c r="D53" s="139"/>
      <c r="E53" s="139"/>
      <c r="F53" s="139"/>
      <c r="G53" s="139"/>
      <c r="H53" s="139"/>
      <c r="I53" s="139"/>
      <c r="J53" s="140"/>
      <c r="K53" s="91"/>
    </row>
    <row r="54" spans="1:16" s="92" customFormat="1" x14ac:dyDescent="0.25">
      <c r="A54" s="198" t="s">
        <v>94</v>
      </c>
      <c r="B54" s="199">
        <f>D45</f>
        <v>2</v>
      </c>
      <c r="C54" s="111"/>
      <c r="D54" s="97"/>
      <c r="E54" s="97"/>
      <c r="F54" s="97"/>
      <c r="G54" s="97"/>
      <c r="H54" s="97"/>
      <c r="I54" s="97"/>
      <c r="J54" s="99"/>
      <c r="K54" s="91"/>
    </row>
    <row r="55" spans="1:16" s="92" customFormat="1" x14ac:dyDescent="0.25">
      <c r="A55" s="65" t="s">
        <v>120</v>
      </c>
      <c r="B55" s="88"/>
      <c r="C55" s="114">
        <f>(C$48+D55)/(1+Předpoklady!$E$40)</f>
        <v>154.00498398006408</v>
      </c>
      <c r="D55" s="114">
        <f>D$48/(1+Předpoklady!$E$40)</f>
        <v>79.245283018867923</v>
      </c>
      <c r="E55" s="97"/>
      <c r="F55" s="97"/>
      <c r="G55" s="97"/>
      <c r="H55" s="97"/>
      <c r="I55" s="97"/>
      <c r="J55" s="99"/>
      <c r="K55" s="91"/>
    </row>
    <row r="56" spans="1:16" s="92" customFormat="1" x14ac:dyDescent="0.25">
      <c r="A56" s="95" t="s">
        <v>97</v>
      </c>
      <c r="B56" s="94"/>
      <c r="C56" s="130">
        <f ca="1">Iterace!$C$41+(Iterace!$C$41-Předpoklady!$E$40)*(Iterace!C58-C55)/Iterace!C57</f>
        <v>0.17034243065053617</v>
      </c>
      <c r="D56" s="130">
        <f ca="1">Iterace!$C$41+(Iterace!$C$41-Předpoklady!$E$40)*(Iterace!D58-D55)/Iterace!D57</f>
        <v>0.17764522622044637</v>
      </c>
      <c r="E56" s="97"/>
      <c r="F56" s="97"/>
      <c r="G56" s="97"/>
      <c r="H56" s="97"/>
      <c r="I56" s="97"/>
      <c r="J56" s="99"/>
      <c r="K56" s="91"/>
      <c r="P56"/>
    </row>
    <row r="57" spans="1:16" s="92" customFormat="1" x14ac:dyDescent="0.25">
      <c r="A57" s="85" t="s">
        <v>160</v>
      </c>
      <c r="B57" s="94"/>
      <c r="C57" s="197">
        <f ca="1">(D57+C46)/(1+C56)</f>
        <v>9813.9793049677191</v>
      </c>
      <c r="D57" s="113">
        <f ca="1">(D$46+D$47)/(1+D56)</f>
        <v>8544.9163941299776</v>
      </c>
      <c r="E57" s="97"/>
      <c r="F57" s="97"/>
      <c r="G57" s="97"/>
      <c r="H57" s="97"/>
      <c r="I57" s="97"/>
      <c r="J57" s="99"/>
      <c r="K57" s="91"/>
    </row>
    <row r="58" spans="1:16" s="92" customFormat="1" ht="16.5" thickBot="1" x14ac:dyDescent="0.3">
      <c r="A58" s="93" t="s">
        <v>95</v>
      </c>
      <c r="B58" s="96"/>
      <c r="C58" s="114">
        <f>Plán!B$42</f>
        <v>7000</v>
      </c>
      <c r="D58" s="104">
        <f>Plán!C$42</f>
        <v>7000</v>
      </c>
      <c r="E58" s="139"/>
      <c r="F58" s="139"/>
      <c r="G58" s="139"/>
      <c r="H58" s="139"/>
      <c r="I58" s="139"/>
      <c r="J58" s="140"/>
      <c r="K58" s="91"/>
    </row>
    <row r="59" spans="1:16" s="92" customFormat="1" x14ac:dyDescent="0.25">
      <c r="A59" s="198" t="s">
        <v>94</v>
      </c>
      <c r="B59" s="199">
        <f>E45</f>
        <v>3</v>
      </c>
      <c r="C59" s="111"/>
      <c r="D59" s="97"/>
      <c r="E59" s="97"/>
      <c r="F59" s="97"/>
      <c r="G59" s="97"/>
      <c r="H59" s="97"/>
      <c r="I59" s="97"/>
      <c r="J59" s="99"/>
      <c r="K59" s="91"/>
    </row>
    <row r="60" spans="1:16" s="92" customFormat="1" x14ac:dyDescent="0.25">
      <c r="A60" s="65" t="s">
        <v>120</v>
      </c>
      <c r="B60" s="88"/>
      <c r="C60" s="114">
        <f>(C$48+D60)/(1+Předpoklady!$E$40)</f>
        <v>224.53300375477741</v>
      </c>
      <c r="D60" s="114">
        <f>(D$48+E60)/(1+Předpoklady!$E$40)</f>
        <v>154.00498398006408</v>
      </c>
      <c r="E60" s="114">
        <f>E$48/(1+Předpoklady!$E$40)</f>
        <v>79.245283018867923</v>
      </c>
      <c r="F60" s="97"/>
      <c r="G60" s="97"/>
      <c r="H60" s="97"/>
      <c r="I60" s="97"/>
      <c r="J60" s="99"/>
      <c r="K60" s="91"/>
    </row>
    <row r="61" spans="1:16" s="92" customFormat="1" x14ac:dyDescent="0.25">
      <c r="A61" s="95" t="s">
        <v>97</v>
      </c>
      <c r="B61" s="94"/>
      <c r="C61" s="130">
        <f ca="1">Iterace!$C$41+(Iterace!$C$41-Předpoklady!$E$40)*(Iterace!C63-C60)/Iterace!C62</f>
        <v>0.16754405983093076</v>
      </c>
      <c r="D61" s="130">
        <f ca="1">Iterace!$C$41+(Iterace!$C$41-Předpoklady!$E$40)*(Iterace!D63-D60)/Iterace!D62</f>
        <v>0.17365763323065697</v>
      </c>
      <c r="E61" s="130">
        <f ca="1">Iterace!$C$41+(Iterace!$C$41-Předpoklady!$E$40)*(Iterace!E63-E60)/Iterace!E62</f>
        <v>0.18170893444140673</v>
      </c>
      <c r="F61" s="97"/>
      <c r="G61" s="97"/>
      <c r="H61" s="97"/>
      <c r="I61" s="97"/>
      <c r="J61" s="99"/>
      <c r="K61" s="91"/>
    </row>
    <row r="62" spans="1:16" s="92" customFormat="1" x14ac:dyDescent="0.25">
      <c r="A62" s="85" t="s">
        <v>160</v>
      </c>
      <c r="B62" s="94"/>
      <c r="C62" s="197">
        <f ca="1">(D62+C46)/(1+C61)</f>
        <v>10351.747259337766</v>
      </c>
      <c r="D62" s="113">
        <f ca="1">(E62+D46)/(1+D61)</f>
        <v>9145.3210215109248</v>
      </c>
      <c r="E62" s="113">
        <f ca="1">(E46+E47)/(1+E61)</f>
        <v>7932.5958252410874</v>
      </c>
      <c r="F62" s="97"/>
      <c r="G62" s="97"/>
      <c r="H62" s="97"/>
      <c r="I62" s="97"/>
      <c r="J62" s="99"/>
      <c r="K62" s="91"/>
    </row>
    <row r="63" spans="1:16" s="92" customFormat="1" ht="16.5" thickBot="1" x14ac:dyDescent="0.3">
      <c r="A63" s="93" t="s">
        <v>95</v>
      </c>
      <c r="B63" s="96"/>
      <c r="C63" s="114">
        <f>Plán!B$42</f>
        <v>7000</v>
      </c>
      <c r="D63" s="104">
        <f>Plán!C$42</f>
        <v>7000</v>
      </c>
      <c r="E63" s="141">
        <f>Plán!D$42</f>
        <v>7000</v>
      </c>
      <c r="F63" s="139"/>
      <c r="G63" s="139"/>
      <c r="H63" s="139"/>
      <c r="I63" s="139"/>
      <c r="J63" s="140"/>
      <c r="K63" s="91"/>
    </row>
    <row r="64" spans="1:16" s="110" customFormat="1" x14ac:dyDescent="0.25">
      <c r="A64" s="198" t="s">
        <v>94</v>
      </c>
      <c r="B64" s="199">
        <f>F45</f>
        <v>4</v>
      </c>
      <c r="C64" s="111"/>
      <c r="D64" s="97"/>
      <c r="E64" s="97"/>
      <c r="F64" s="97"/>
      <c r="G64" s="97"/>
      <c r="H64" s="97"/>
      <c r="I64" s="97"/>
      <c r="J64" s="99"/>
      <c r="K64" s="91"/>
    </row>
    <row r="65" spans="1:11" s="110" customFormat="1" x14ac:dyDescent="0.25">
      <c r="A65" s="65" t="s">
        <v>120</v>
      </c>
      <c r="B65" s="88"/>
      <c r="C65" s="114">
        <f>(C$48+D65)/(1+Předpoklady!$E$40)</f>
        <v>291.0688714667711</v>
      </c>
      <c r="D65" s="114">
        <f>(D$48+E65)/(1+Předpoklady!$E$40)</f>
        <v>224.53300375477741</v>
      </c>
      <c r="E65" s="114">
        <f>(E$48+F65)/(1+Předpoklady!$E$40)</f>
        <v>154.00498398006408</v>
      </c>
      <c r="F65" s="114">
        <f>F$48/(1+Předpoklady!$E$40)</f>
        <v>79.245283018867923</v>
      </c>
      <c r="G65" s="97"/>
      <c r="H65" s="97"/>
      <c r="I65" s="97"/>
      <c r="J65" s="99"/>
      <c r="K65" s="91"/>
    </row>
    <row r="66" spans="1:11" s="110" customFormat="1" x14ac:dyDescent="0.25">
      <c r="A66" s="95" t="s">
        <v>97</v>
      </c>
      <c r="B66" s="94"/>
      <c r="C66" s="130">
        <f ca="1">Iterace!$C$41+(Iterace!$C$41-Předpoklady!$E$40)*(Iterace!C68-C65)/Iterace!C67</f>
        <v>0.16573162431032537</v>
      </c>
      <c r="D66" s="130">
        <f ca="1">Iterace!$C$41+(Iterace!$C$41-Předpoklady!$E$40)*(Iterace!D68-D65)/Iterace!D67</f>
        <v>0.17116531886743458</v>
      </c>
      <c r="E66" s="130">
        <f ca="1">Iterace!$C$41+(Iterace!$C$41-Předpoklady!$E$40)*(Iterace!E68-E65)/Iterace!E67</f>
        <v>0.17815379794226488</v>
      </c>
      <c r="F66" s="130">
        <f ca="1">Iterace!$C$41+(Iterace!$C$41-Předpoklady!$E$40)*(Iterace!F68-F65)/Iterace!F67</f>
        <v>0.1866132353972054</v>
      </c>
      <c r="G66" s="97"/>
      <c r="H66" s="97"/>
      <c r="I66" s="97"/>
      <c r="J66" s="99"/>
      <c r="K66" s="91"/>
    </row>
    <row r="67" spans="1:11" s="110" customFormat="1" x14ac:dyDescent="0.25">
      <c r="A67" s="85" t="s">
        <v>160</v>
      </c>
      <c r="B67" s="94"/>
      <c r="C67" s="197">
        <f ca="1">(D67+C46)/(1+C66)</f>
        <v>10706.190355490306</v>
      </c>
      <c r="D67" s="113">
        <f ca="1">(E67+D46)/(1+D66)</f>
        <v>9539.7446732812514</v>
      </c>
      <c r="E67" s="113">
        <f ca="1">(F67+E46)/(1+E66)</f>
        <v>8371.7381121973467</v>
      </c>
      <c r="F67" s="113">
        <f ca="1">(F46+F47)/(1+F66)</f>
        <v>7301.175692263314</v>
      </c>
      <c r="G67" s="97"/>
      <c r="H67" s="97"/>
      <c r="I67" s="97"/>
      <c r="J67" s="99"/>
      <c r="K67" s="91"/>
    </row>
    <row r="68" spans="1:11" s="110" customFormat="1" ht="16.5" thickBot="1" x14ac:dyDescent="0.3">
      <c r="A68" s="93" t="s">
        <v>95</v>
      </c>
      <c r="B68" s="96"/>
      <c r="C68" s="114">
        <f>Plán!B$42</f>
        <v>7000</v>
      </c>
      <c r="D68" s="104">
        <f>Plán!C$42</f>
        <v>7000</v>
      </c>
      <c r="E68" s="141">
        <f>Plán!D$42</f>
        <v>7000</v>
      </c>
      <c r="F68" s="141">
        <f>Plán!E$42</f>
        <v>7000</v>
      </c>
      <c r="G68" s="139"/>
      <c r="H68" s="139"/>
      <c r="I68" s="139"/>
      <c r="J68" s="140"/>
      <c r="K68" s="91"/>
    </row>
    <row r="69" spans="1:11" s="110" customFormat="1" x14ac:dyDescent="0.25">
      <c r="A69" s="198" t="s">
        <v>94</v>
      </c>
      <c r="B69" s="199">
        <f>G45</f>
        <v>5</v>
      </c>
      <c r="C69" s="111"/>
      <c r="D69" s="97"/>
      <c r="E69" s="97"/>
      <c r="F69" s="97"/>
      <c r="G69" s="97"/>
      <c r="H69" s="97"/>
      <c r="I69" s="97"/>
      <c r="J69" s="99"/>
      <c r="K69" s="91"/>
    </row>
    <row r="70" spans="1:11" s="110" customFormat="1" x14ac:dyDescent="0.25">
      <c r="A70" s="65" t="s">
        <v>120</v>
      </c>
      <c r="B70" s="88"/>
      <c r="C70" s="114">
        <f>(C$48+D70)/(1+Předpoklady!$E$40)</f>
        <v>353.83855798751989</v>
      </c>
      <c r="D70" s="114">
        <f>(D$48+E70)/(1+Předpoklady!$E$40)</f>
        <v>291.0688714667711</v>
      </c>
      <c r="E70" s="114">
        <f>(E$48+F70)/(1+Předpoklady!$E$40)</f>
        <v>224.53300375477741</v>
      </c>
      <c r="F70" s="114">
        <f>(F$48+G70)/(1+Předpoklady!$E$40)</f>
        <v>154.00498398006408</v>
      </c>
      <c r="G70" s="114">
        <f>G$48/(1+Předpoklady!$E$40)</f>
        <v>79.245283018867923</v>
      </c>
      <c r="H70" s="97"/>
      <c r="I70" s="97"/>
      <c r="J70" s="99"/>
      <c r="K70" s="91"/>
    </row>
    <row r="71" spans="1:11" s="110" customFormat="1" x14ac:dyDescent="0.25">
      <c r="A71" s="95" t="s">
        <v>97</v>
      </c>
      <c r="B71" s="94"/>
      <c r="C71" s="130">
        <f ca="1">Iterace!$C$41+(Iterace!$C$41-Předpoklady!$E$40)*(Iterace!C73-C70)/Iterace!C72</f>
        <v>0.16464007962225366</v>
      </c>
      <c r="D71" s="130">
        <f ca="1">Iterace!$C$41+(Iterace!$C$41-Předpoklady!$E$40)*(Iterace!D73-D70)/Iterace!D72</f>
        <v>0.16971917644307344</v>
      </c>
      <c r="E71" s="130">
        <f ca="1">Iterace!$C$41+(Iterace!$C$41-Předpoklady!$E$40)*(Iterace!E73-E70)/Iterace!E72</f>
        <v>0.17617615399686537</v>
      </c>
      <c r="F71" s="130">
        <f ca="1">Iterace!$C$41+(Iterace!$C$41-Předpoklady!$E$40)*(Iterace!F73-F70)/Iterace!F72</f>
        <v>0.18386285520447604</v>
      </c>
      <c r="G71" s="130">
        <f ca="1">Iterace!$C$41+(Iterace!$C$41-Předpoklady!$E$40)*(Iterace!G73-G70)/Iterace!G72</f>
        <v>0.19266621720882243</v>
      </c>
      <c r="H71" s="97"/>
      <c r="I71" s="97"/>
      <c r="J71" s="99"/>
      <c r="K71" s="91"/>
    </row>
    <row r="72" spans="1:11" s="110" customFormat="1" x14ac:dyDescent="0.25">
      <c r="A72" s="85" t="s">
        <v>160</v>
      </c>
      <c r="B72" s="94"/>
      <c r="C72" s="197">
        <f ca="1">(C46+D72)/(1+C71)</f>
        <v>10898.073309829813</v>
      </c>
      <c r="D72" s="113">
        <f ca="1">(D46+E72)/(1+D71)</f>
        <v>9751.5329672893495</v>
      </c>
      <c r="E72" s="113">
        <f ca="1">(E46+F72)/(1+E71)</f>
        <v>8605.6751115551797</v>
      </c>
      <c r="F72" s="113">
        <f ca="1">(F46+G72)/(1+F71)</f>
        <v>7559.7704952555196</v>
      </c>
      <c r="G72" s="113">
        <f ca="1">(G46+G47)/(1+G71)</f>
        <v>6648.0597728037555</v>
      </c>
      <c r="H72" s="97"/>
      <c r="I72" s="97"/>
      <c r="J72" s="99"/>
      <c r="K72" s="91"/>
    </row>
    <row r="73" spans="1:11" s="110" customFormat="1" ht="16.5" thickBot="1" x14ac:dyDescent="0.3">
      <c r="A73" s="93" t="s">
        <v>95</v>
      </c>
      <c r="B73" s="96"/>
      <c r="C73" s="114">
        <f>Plán!B$42</f>
        <v>7000</v>
      </c>
      <c r="D73" s="104">
        <f>Plán!C$42</f>
        <v>7000</v>
      </c>
      <c r="E73" s="141">
        <f>Plán!D$42</f>
        <v>7000</v>
      </c>
      <c r="F73" s="141">
        <f>Plán!E$42</f>
        <v>7000</v>
      </c>
      <c r="G73" s="141">
        <f>Plán!F$42</f>
        <v>7000</v>
      </c>
      <c r="H73" s="139"/>
      <c r="I73" s="139"/>
      <c r="J73" s="140"/>
      <c r="K73" s="91"/>
    </row>
    <row r="74" spans="1:11" s="110" customFormat="1" x14ac:dyDescent="0.25">
      <c r="A74" s="198" t="s">
        <v>94</v>
      </c>
      <c r="B74" s="199">
        <f>H45</f>
        <v>6</v>
      </c>
      <c r="C74" s="111"/>
      <c r="D74" s="97"/>
      <c r="E74" s="97"/>
      <c r="F74" s="97"/>
      <c r="G74" s="97"/>
      <c r="H74" s="97"/>
      <c r="I74" s="97"/>
      <c r="J74" s="99"/>
      <c r="K74" s="91"/>
    </row>
    <row r="75" spans="1:11" s="110" customFormat="1" x14ac:dyDescent="0.25">
      <c r="A75" s="65" t="s">
        <v>120</v>
      </c>
      <c r="B75" s="88"/>
      <c r="C75" s="114">
        <f>(C$48+D75)/(1+Předpoklady!$E$40)</f>
        <v>413.05524338445269</v>
      </c>
      <c r="D75" s="114">
        <f>(D$48+E75)/(1+Předpoklady!$E$40)</f>
        <v>353.83855798751989</v>
      </c>
      <c r="E75" s="114">
        <f>(E$48+F75)/(1+Předpoklady!$E$40)</f>
        <v>291.0688714667711</v>
      </c>
      <c r="F75" s="114">
        <f>(F$48+G75)/(1+Předpoklady!$E$40)</f>
        <v>224.53300375477741</v>
      </c>
      <c r="G75" s="114">
        <f>(G$48+H75)/(1+Předpoklady!$E$40)</f>
        <v>154.00498398006408</v>
      </c>
      <c r="H75" s="114">
        <f>H$48/(1+Předpoklady!$E$40)</f>
        <v>79.245283018867923</v>
      </c>
      <c r="I75" s="97"/>
      <c r="J75" s="99"/>
      <c r="K75" s="91"/>
    </row>
    <row r="76" spans="1:11" s="110" customFormat="1" x14ac:dyDescent="0.25">
      <c r="A76" s="95" t="s">
        <v>97</v>
      </c>
      <c r="B76" s="94"/>
      <c r="C76" s="130">
        <f ca="1">Iterace!$C$41+(Iterace!$C$41-Předpoklady!$E$40)*(Iterace!C78-C75)/Iterace!C77</f>
        <v>0.16411612518781632</v>
      </c>
      <c r="D76" s="130">
        <f ca="1">Iterace!$C$41+(Iterace!$C$41-Předpoklady!$E$40)*(Iterace!D78-D75)/Iterace!D77</f>
        <v>0.16907625233234908</v>
      </c>
      <c r="E76" s="130">
        <f ca="1">Iterace!$C$41+(Iterace!$C$41-Předpoklady!$E$40)*(Iterace!E78-E75)/Iterace!E77</f>
        <v>0.17537038245920433</v>
      </c>
      <c r="F76" s="130">
        <f ca="1">Iterace!$C$41+(Iterace!$C$41-Předpoklady!$E$40)*(Iterace!F78-F75)/Iterace!F77</f>
        <v>0.1828436125558896</v>
      </c>
      <c r="G76" s="130">
        <f ca="1">Iterace!$C$41+(Iterace!$C$41-Předpoklady!$E$40)*(Iterace!G78-G75)/Iterace!G77</f>
        <v>0.19137501706410331</v>
      </c>
      <c r="H76" s="130">
        <f ca="1">Iterace!$C$41+(Iterace!$C$41-Předpoklady!$E$40)*(Iterace!H78-H75)/Iterace!H77</f>
        <v>0.20034820145606219</v>
      </c>
      <c r="I76" s="97"/>
      <c r="J76" s="99"/>
      <c r="K76" s="91"/>
    </row>
    <row r="77" spans="1:11" s="110" customFormat="1" x14ac:dyDescent="0.25">
      <c r="A77" s="85" t="s">
        <v>160</v>
      </c>
      <c r="B77" s="94"/>
      <c r="C77" s="197">
        <f ca="1">(D77+C46)/(1+C76)</f>
        <v>10945.649834288004</v>
      </c>
      <c r="D77" s="113">
        <f ca="1">(E77+D46)/(1+D76)</f>
        <v>9801.207472754013</v>
      </c>
      <c r="E77" s="113">
        <f ca="1">(F77+E46)/(1+E76)</f>
        <v>8657.4789005790772</v>
      </c>
      <c r="F77" s="113">
        <f ca="1">(G77+F46)/(1+F76)</f>
        <v>7613.7249265061255</v>
      </c>
      <c r="G77" s="113">
        <f ca="1">(H77+G46)/(1+G76)</f>
        <v>6704.1741866753291</v>
      </c>
      <c r="H77" s="113">
        <f ca="1">(H46+H47)/(1+H76)</f>
        <v>5970.2693350430418</v>
      </c>
      <c r="I77" s="97"/>
      <c r="J77" s="99"/>
      <c r="K77" s="91"/>
    </row>
    <row r="78" spans="1:11" s="110" customFormat="1" ht="16.5" thickBot="1" x14ac:dyDescent="0.3">
      <c r="A78" s="93" t="s">
        <v>95</v>
      </c>
      <c r="B78" s="96"/>
      <c r="C78" s="114">
        <f>Plán!B$42</f>
        <v>7000</v>
      </c>
      <c r="D78" s="104">
        <f>Plán!C$42</f>
        <v>7000</v>
      </c>
      <c r="E78" s="141">
        <f>Plán!D$42</f>
        <v>7000</v>
      </c>
      <c r="F78" s="141">
        <f>Plán!E$42</f>
        <v>7000</v>
      </c>
      <c r="G78" s="141">
        <f>Plán!F$42</f>
        <v>7000</v>
      </c>
      <c r="H78" s="141">
        <f>Plán!G$42</f>
        <v>7000</v>
      </c>
      <c r="I78" s="139"/>
      <c r="J78" s="140"/>
      <c r="K78" s="91"/>
    </row>
    <row r="79" spans="1:11" s="110" customFormat="1" x14ac:dyDescent="0.25">
      <c r="A79" s="198" t="s">
        <v>94</v>
      </c>
      <c r="B79" s="199">
        <f>I45</f>
        <v>7</v>
      </c>
      <c r="C79" s="111"/>
      <c r="D79" s="97"/>
      <c r="E79" s="97"/>
      <c r="F79" s="97"/>
      <c r="G79" s="97"/>
      <c r="H79" s="97"/>
      <c r="I79" s="97"/>
      <c r="J79" s="99"/>
      <c r="K79" s="91"/>
    </row>
    <row r="80" spans="1:11" s="110" customFormat="1" x14ac:dyDescent="0.25">
      <c r="A80" s="65" t="s">
        <v>120</v>
      </c>
      <c r="B80" s="88"/>
      <c r="C80" s="114">
        <f>(C$48+D80)/(1+Předpoklady!$E$40)</f>
        <v>460.93935556526094</v>
      </c>
      <c r="D80" s="114">
        <f>(D$48+E80)/(1+Předpoklady!$E$40)</f>
        <v>404.59571689917664</v>
      </c>
      <c r="E80" s="114">
        <f>(E$48+F80)/(1+Předpoklady!$E$40)</f>
        <v>344.87145991312724</v>
      </c>
      <c r="F80" s="114">
        <f>(F$48+G80)/(1+Předpoklady!$E$40)</f>
        <v>281.56374750791491</v>
      </c>
      <c r="G80" s="114">
        <f>(G$48+H80)/(1+Předpoklady!$E$40)</f>
        <v>214.4575723583898</v>
      </c>
      <c r="H80" s="114">
        <f>(H$48+I80)/(1+Předpoklady!$E$40)</f>
        <v>143.32502669989319</v>
      </c>
      <c r="I80" s="114">
        <f>I$48/(1+Předpoklady!$E$40)</f>
        <v>67.924528301886795</v>
      </c>
      <c r="J80" s="99"/>
      <c r="K80" s="91"/>
    </row>
    <row r="81" spans="1:11" s="110" customFormat="1" x14ac:dyDescent="0.25">
      <c r="A81" s="95" t="s">
        <v>97</v>
      </c>
      <c r="B81" s="94"/>
      <c r="C81" s="130">
        <f ca="1">Iterace!$C$41+(Iterace!$C$41-Předpoklady!$E$40)*(Iterace!C83-C80)/Iterace!C82</f>
        <v>0.16414895591642198</v>
      </c>
      <c r="D81" s="130">
        <f ca="1">Iterace!$C$41+(Iterace!$C$41-Předpoklady!$E$40)*(Iterace!D83-D80)/Iterace!D82</f>
        <v>0.16920363036103495</v>
      </c>
      <c r="E81" s="130">
        <f ca="1">Iterace!$C$41+(Iterace!$C$41-Předpoklady!$E$40)*(Iterace!E83-E80)/Iterace!E82</f>
        <v>0.17566304578208952</v>
      </c>
      <c r="F81" s="130">
        <f ca="1">Iterace!$C$41+(Iterace!$C$41-Předpoklady!$E$40)*(Iterace!F83-F80)/Iterace!F82</f>
        <v>0.18341095982160133</v>
      </c>
      <c r="G81" s="130">
        <f ca="1">Iterace!$C$41+(Iterace!$C$41-Předpoklady!$E$40)*(Iterace!G83-G80)/Iterace!G82</f>
        <v>0.19237989092570948</v>
      </c>
      <c r="H81" s="130">
        <f ca="1">Iterace!$C$41+(Iterace!$C$41-Předpoklady!$E$40)*(Iterace!H83-H80)/Iterace!H82</f>
        <v>0.2019980092289809</v>
      </c>
      <c r="I81" s="130">
        <f ca="1">Iterace!$C$41+(Iterace!$C$41-Předpoklady!$E$40)*(Iterace!I83-I80)/Iterace!I82</f>
        <v>0.18666334319984293</v>
      </c>
      <c r="J81" s="99"/>
      <c r="K81" s="91"/>
    </row>
    <row r="82" spans="1:11" s="110" customFormat="1" x14ac:dyDescent="0.25">
      <c r="A82" s="85" t="s">
        <v>160</v>
      </c>
      <c r="B82" s="94"/>
      <c r="C82" s="197">
        <f t="shared" ref="C82:H82" ca="1" si="15">(D82+C46)/(1+C81)</f>
        <v>10856.967496033916</v>
      </c>
      <c r="D82" s="113">
        <f t="shared" ca="1" si="15"/>
        <v>9698.3273749264117</v>
      </c>
      <c r="E82" s="113">
        <f t="shared" ca="1" si="15"/>
        <v>8538.4395751937664</v>
      </c>
      <c r="F82" s="113">
        <f t="shared" ca="1" si="15"/>
        <v>7476.3085171986386</v>
      </c>
      <c r="G82" s="113">
        <f t="shared" ca="1" si="15"/>
        <v>6545.873727860454</v>
      </c>
      <c r="H82" s="113">
        <f t="shared" ca="1" si="15"/>
        <v>5788.2519006317152</v>
      </c>
      <c r="I82" s="113">
        <f ca="1">(I46+I47)/(1+I81)</f>
        <v>6253.0652029479897</v>
      </c>
      <c r="J82" s="99"/>
      <c r="K82" s="91"/>
    </row>
    <row r="83" spans="1:11" s="110" customFormat="1" ht="16.5" thickBot="1" x14ac:dyDescent="0.3">
      <c r="A83" s="93" t="s">
        <v>95</v>
      </c>
      <c r="B83" s="96"/>
      <c r="C83" s="114">
        <f>Plán!B$42</f>
        <v>7000</v>
      </c>
      <c r="D83" s="104">
        <f>Plán!C$42</f>
        <v>7000</v>
      </c>
      <c r="E83" s="141">
        <f>Plán!D$42</f>
        <v>7000</v>
      </c>
      <c r="F83" s="141">
        <f>Plán!E$42</f>
        <v>7000</v>
      </c>
      <c r="G83" s="141">
        <f>Plán!F$42</f>
        <v>7000</v>
      </c>
      <c r="H83" s="141">
        <f>Plán!G$42</f>
        <v>7000</v>
      </c>
      <c r="I83" s="141">
        <f>Plán!H$42</f>
        <v>6000</v>
      </c>
      <c r="J83" s="140"/>
      <c r="K83" s="91"/>
    </row>
    <row r="84" spans="1:11" s="110" customFormat="1" x14ac:dyDescent="0.25">
      <c r="A84" s="198" t="s">
        <v>94</v>
      </c>
      <c r="B84" s="199">
        <f>J45</f>
        <v>8</v>
      </c>
      <c r="C84" s="111"/>
      <c r="D84" s="97"/>
      <c r="E84" s="97"/>
      <c r="F84" s="97"/>
      <c r="G84" s="97"/>
      <c r="H84" s="97"/>
      <c r="I84" s="97"/>
      <c r="J84" s="99"/>
      <c r="K84" s="91"/>
    </row>
    <row r="85" spans="1:11" s="110" customFormat="1" x14ac:dyDescent="0.25">
      <c r="A85" s="65" t="s">
        <v>120</v>
      </c>
      <c r="B85" s="88"/>
      <c r="C85" s="114">
        <f>(C$48+D85)/(1+Předpoklady!$E$40)</f>
        <v>498.58409784577049</v>
      </c>
      <c r="D85" s="114">
        <f>(D$48+E85)/(1+Předpoklady!$E$40)</f>
        <v>444.49914371651681</v>
      </c>
      <c r="E85" s="114">
        <f>(E$48+F85)/(1+Předpoklady!$E$40)</f>
        <v>387.16909233950787</v>
      </c>
      <c r="F85" s="114">
        <f>(F$48+G85)/(1+Předpoklady!$E$40)</f>
        <v>326.39923787987834</v>
      </c>
      <c r="G85" s="114">
        <f>(G$48+H85)/(1+Předpoklady!$E$40)</f>
        <v>261.98319215267105</v>
      </c>
      <c r="H85" s="114">
        <f>(H$48+I85)/(1+Předpoklady!$E$40)</f>
        <v>193.70218368183131</v>
      </c>
      <c r="I85" s="114">
        <f>(I$48+J85)/(1+Předpoklady!$E$40)</f>
        <v>121.32431470274119</v>
      </c>
      <c r="J85" s="114">
        <f>J$48/(1+Předpoklady!$E$40)</f>
        <v>56.60377358490566</v>
      </c>
      <c r="K85" s="91"/>
    </row>
    <row r="86" spans="1:11" s="110" customFormat="1" x14ac:dyDescent="0.25">
      <c r="A86" s="95" t="s">
        <v>97</v>
      </c>
      <c r="B86" s="94"/>
      <c r="C86" s="130">
        <f ca="1">Iterace!$C$41+(Iterace!$C$41-Předpoklady!$E$40)*(Iterace!C88-C85)/Iterace!C87</f>
        <v>0.16469123433026661</v>
      </c>
      <c r="D86" s="130">
        <f ca="1">Iterace!$C$41+(Iterace!$C$41-Předpoklady!$E$40)*(Iterace!D88-D85)/Iterace!D87</f>
        <v>0.17004474009272727</v>
      </c>
      <c r="E86" s="130">
        <f ca="1">Iterace!$C$41+(Iterace!$C$41-Předpoklady!$E$40)*(Iterace!E88-E85)/Iterace!E87</f>
        <v>0.17699184104203727</v>
      </c>
      <c r="F86" s="130">
        <f ca="1">Iterace!$C$41+(Iterace!$C$41-Předpoklady!$E$40)*(Iterace!F88-F85)/Iterace!F87</f>
        <v>0.18551195776819029</v>
      </c>
      <c r="G86" s="130">
        <f ca="1">Iterace!$C$41+(Iterace!$C$41-Předpoklady!$E$40)*(Iterace!G88-G85)/Iterace!G87</f>
        <v>0.19567753955604461</v>
      </c>
      <c r="H86" s="130">
        <f ca="1">Iterace!$C$41+(Iterace!$C$41-Předpoklady!$E$40)*(Iterace!H88-H85)/Iterace!H87</f>
        <v>0.20704313726415746</v>
      </c>
      <c r="I86" s="130">
        <f ca="1">Iterace!$C$41+(Iterace!$C$41-Předpoklady!$E$40)*(Iterace!I88-I85)/Iterace!I87</f>
        <v>0.19083112766020222</v>
      </c>
      <c r="J86" s="130">
        <f ca="1">Iterace!$C$41+(Iterace!$C$41-Předpoklady!$E$40)*(Iterace!J88-J85)/Iterace!J87</f>
        <v>0.17440474301371089</v>
      </c>
      <c r="K86" s="91"/>
    </row>
    <row r="87" spans="1:11" s="110" customFormat="1" x14ac:dyDescent="0.25">
      <c r="A87" s="85" t="s">
        <v>160</v>
      </c>
      <c r="B87" s="94"/>
      <c r="C87" s="197">
        <f t="shared" ref="C87:I87" ca="1" si="16">(D87+C46)/(1+C86)</f>
        <v>10646.986438458445</v>
      </c>
      <c r="D87" s="113">
        <f t="shared" ca="1" si="16"/>
        <v>9459.6517769057755</v>
      </c>
      <c r="E87" s="113">
        <f t="shared" ca="1" si="16"/>
        <v>8267.3358046774247</v>
      </c>
      <c r="F87" s="113">
        <f t="shared" ca="1" si="16"/>
        <v>7168.567429260037</v>
      </c>
      <c r="G87" s="113">
        <f t="shared" ca="1" si="16"/>
        <v>6196.7506970553486</v>
      </c>
      <c r="H87" s="113">
        <f t="shared" ca="1" si="16"/>
        <v>5392.3993256893436</v>
      </c>
      <c r="I87" s="113">
        <f t="shared" ca="1" si="16"/>
        <v>5804.4565409339966</v>
      </c>
      <c r="J87" s="113">
        <f ca="1">(J46+J47)/(1+J86)</f>
        <v>6503.8442691182017</v>
      </c>
      <c r="K87" s="91"/>
    </row>
    <row r="88" spans="1:11" s="110" customFormat="1" ht="16.5" thickBot="1" x14ac:dyDescent="0.3">
      <c r="A88" s="102" t="s">
        <v>95</v>
      </c>
      <c r="B88" s="103"/>
      <c r="C88" s="141">
        <f>Plán!B$42</f>
        <v>7000</v>
      </c>
      <c r="D88" s="141">
        <f>Plán!C$42</f>
        <v>7000</v>
      </c>
      <c r="E88" s="141">
        <f>Plán!D$42</f>
        <v>7000</v>
      </c>
      <c r="F88" s="141">
        <f>Plán!E$42</f>
        <v>7000</v>
      </c>
      <c r="G88" s="141">
        <f>Plán!F$42</f>
        <v>7000</v>
      </c>
      <c r="H88" s="141">
        <f>Plán!G$42</f>
        <v>7000</v>
      </c>
      <c r="I88" s="141">
        <f>Plán!H$42</f>
        <v>6000</v>
      </c>
      <c r="J88" s="142">
        <f>Plán!I$42</f>
        <v>5000</v>
      </c>
      <c r="K88" s="91"/>
    </row>
    <row r="90" spans="1:11" ht="16.5" thickBot="1" x14ac:dyDescent="0.3">
      <c r="A90" s="10" t="s">
        <v>90</v>
      </c>
    </row>
    <row r="91" spans="1:11" ht="16.5" thickBot="1" x14ac:dyDescent="0.3">
      <c r="A91" s="183"/>
      <c r="B91" s="182"/>
      <c r="C91" s="184">
        <f>rok</f>
        <v>1</v>
      </c>
      <c r="D91" s="180">
        <f t="shared" ref="D91:J91" si="17">C91+1</f>
        <v>2</v>
      </c>
      <c r="E91" s="180">
        <f t="shared" si="17"/>
        <v>3</v>
      </c>
      <c r="F91" s="180">
        <f t="shared" si="17"/>
        <v>4</v>
      </c>
      <c r="G91" s="180">
        <f t="shared" si="17"/>
        <v>5</v>
      </c>
      <c r="H91" s="180">
        <f t="shared" si="17"/>
        <v>6</v>
      </c>
      <c r="I91" s="180">
        <f t="shared" si="17"/>
        <v>7</v>
      </c>
      <c r="J91" s="185">
        <f t="shared" si="17"/>
        <v>8</v>
      </c>
    </row>
    <row r="92" spans="1:11" s="92" customFormat="1" x14ac:dyDescent="0.25">
      <c r="A92" s="93" t="s">
        <v>92</v>
      </c>
      <c r="B92" s="94"/>
      <c r="C92" s="143">
        <f>C20</f>
        <v>3276.8000000000011</v>
      </c>
      <c r="D92" s="100">
        <f t="shared" ref="D92:J92" si="18">D20</f>
        <v>3136.8799999999987</v>
      </c>
      <c r="E92" s="100">
        <f t="shared" si="18"/>
        <v>2898.0193599999971</v>
      </c>
      <c r="F92" s="100">
        <f t="shared" si="18"/>
        <v>2637.6717104000008</v>
      </c>
      <c r="G92" s="100">
        <f t="shared" si="18"/>
        <v>2352.9163010079997</v>
      </c>
      <c r="H92" s="100">
        <f t="shared" si="18"/>
        <v>2040.4020585271967</v>
      </c>
      <c r="I92" s="100">
        <f t="shared" si="18"/>
        <v>1696.2832589768659</v>
      </c>
      <c r="J92" s="144">
        <f t="shared" si="18"/>
        <v>1316.1455574749591</v>
      </c>
    </row>
    <row r="93" spans="1:11" s="92" customFormat="1" ht="16.5" thickBot="1" x14ac:dyDescent="0.3">
      <c r="A93" s="102" t="s">
        <v>93</v>
      </c>
      <c r="B93" s="103"/>
      <c r="C93" s="101">
        <f>C34</f>
        <v>14712</v>
      </c>
      <c r="D93" s="104">
        <f t="shared" ref="D93:J93" si="19">D34</f>
        <v>14262</v>
      </c>
      <c r="E93" s="104">
        <f t="shared" si="19"/>
        <v>13812</v>
      </c>
      <c r="F93" s="104">
        <f t="shared" si="19"/>
        <v>13362</v>
      </c>
      <c r="G93" s="104">
        <f t="shared" si="19"/>
        <v>12912</v>
      </c>
      <c r="H93" s="104">
        <f t="shared" si="19"/>
        <v>12462</v>
      </c>
      <c r="I93" s="104">
        <f t="shared" si="19"/>
        <v>12012</v>
      </c>
      <c r="J93" s="105">
        <f t="shared" si="19"/>
        <v>11562</v>
      </c>
    </row>
    <row r="94" spans="1:11" s="92" customFormat="1" x14ac:dyDescent="0.25">
      <c r="A94" s="198" t="s">
        <v>94</v>
      </c>
      <c r="B94" s="199">
        <f>C91</f>
        <v>1</v>
      </c>
      <c r="C94" s="145"/>
      <c r="D94" s="97"/>
      <c r="E94" s="97"/>
      <c r="F94" s="97"/>
      <c r="G94" s="97"/>
      <c r="H94" s="97"/>
      <c r="I94" s="97"/>
      <c r="J94" s="146"/>
    </row>
    <row r="95" spans="1:11" s="92" customFormat="1" x14ac:dyDescent="0.25">
      <c r="A95" s="95" t="s">
        <v>97</v>
      </c>
      <c r="B95" s="94"/>
      <c r="C95" s="147">
        <f ca="1">C51</f>
        <v>0.17460135469501609</v>
      </c>
      <c r="D95" s="97"/>
      <c r="E95" s="97"/>
      <c r="F95" s="97"/>
      <c r="G95" s="97"/>
      <c r="H95" s="97"/>
      <c r="I95" s="97"/>
      <c r="J95" s="146"/>
    </row>
    <row r="96" spans="1:11" s="92" customFormat="1" x14ac:dyDescent="0.25">
      <c r="A96" s="95" t="s">
        <v>98</v>
      </c>
      <c r="B96" s="94"/>
      <c r="C96" s="147">
        <f ca="1">C95*(1-C100)+Předpoklady!$E$40*(1-Předpoklady!$E$43)*C100</f>
        <v>0.11945209185295463</v>
      </c>
      <c r="D96" s="112"/>
      <c r="E96" s="97"/>
      <c r="F96" s="97"/>
      <c r="G96" s="97"/>
      <c r="H96" s="97"/>
      <c r="I96" s="97"/>
      <c r="J96" s="146"/>
    </row>
    <row r="97" spans="1:10" s="92" customFormat="1" x14ac:dyDescent="0.25">
      <c r="A97" s="95" t="s">
        <v>99</v>
      </c>
      <c r="B97" s="94"/>
      <c r="C97" s="143">
        <f ca="1">(C$92+C$93)/(1+C96)</f>
        <v>16069.289727463314</v>
      </c>
      <c r="D97" s="97"/>
      <c r="E97" s="97"/>
      <c r="F97" s="97"/>
      <c r="G97" s="97"/>
      <c r="H97" s="97"/>
      <c r="I97" s="97"/>
      <c r="J97" s="146"/>
    </row>
    <row r="98" spans="1:10" s="92" customFormat="1" x14ac:dyDescent="0.25">
      <c r="A98" s="93" t="s">
        <v>95</v>
      </c>
      <c r="B98" s="96"/>
      <c r="C98" s="143">
        <f>Plán!B$42</f>
        <v>7000</v>
      </c>
      <c r="D98" s="97"/>
      <c r="E98" s="97"/>
      <c r="F98" s="97"/>
      <c r="G98" s="97"/>
      <c r="H98" s="97"/>
      <c r="I98" s="97"/>
      <c r="J98" s="146"/>
    </row>
    <row r="99" spans="1:10" s="92" customFormat="1" x14ac:dyDescent="0.25">
      <c r="A99" s="85" t="s">
        <v>160</v>
      </c>
      <c r="B99" s="94"/>
      <c r="C99" s="196">
        <f ca="1">C97-C98</f>
        <v>9069.2897274633142</v>
      </c>
      <c r="D99" s="115"/>
      <c r="E99" s="115"/>
      <c r="F99" s="115"/>
      <c r="G99" s="115"/>
      <c r="H99" s="115"/>
      <c r="I99" s="115"/>
      <c r="J99" s="148"/>
    </row>
    <row r="100" spans="1:10" s="110" customFormat="1" ht="16.5" thickBot="1" x14ac:dyDescent="0.3">
      <c r="A100" s="106" t="s">
        <v>122</v>
      </c>
      <c r="B100" s="107"/>
      <c r="C100" s="149">
        <f ca="1">C98/C97</f>
        <v>0.43561352858282271</v>
      </c>
      <c r="D100" s="108"/>
      <c r="E100" s="108"/>
      <c r="F100" s="108"/>
      <c r="G100" s="108"/>
      <c r="H100" s="108"/>
      <c r="I100" s="108"/>
      <c r="J100" s="109"/>
    </row>
    <row r="101" spans="1:10" s="92" customFormat="1" x14ac:dyDescent="0.25">
      <c r="A101" s="198" t="s">
        <v>94</v>
      </c>
      <c r="B101" s="199">
        <f>D91</f>
        <v>2</v>
      </c>
      <c r="C101" s="145"/>
      <c r="D101" s="97"/>
      <c r="E101" s="97"/>
      <c r="F101" s="97"/>
      <c r="G101" s="97"/>
      <c r="H101" s="97"/>
      <c r="I101" s="97"/>
      <c r="J101" s="146"/>
    </row>
    <row r="102" spans="1:10" s="92" customFormat="1" x14ac:dyDescent="0.25">
      <c r="A102" s="95" t="s">
        <v>97</v>
      </c>
      <c r="B102" s="94"/>
      <c r="C102" s="147">
        <f ca="1">C56</f>
        <v>0.17034243065053617</v>
      </c>
      <c r="D102" s="130">
        <f ca="1">D56</f>
        <v>0.17764522622044637</v>
      </c>
      <c r="E102" s="97"/>
      <c r="F102" s="97"/>
      <c r="G102" s="97"/>
      <c r="H102" s="97"/>
      <c r="I102" s="97"/>
      <c r="J102" s="146"/>
    </row>
    <row r="103" spans="1:10" s="92" customFormat="1" x14ac:dyDescent="0.25">
      <c r="A103" s="95" t="s">
        <v>98</v>
      </c>
      <c r="B103" s="94"/>
      <c r="C103" s="147">
        <f ca="1">C102*(1-C107)+Předpoklady!$E$40*(1-Předpoklady!$E$43)*C107</f>
        <v>0.11940879982938193</v>
      </c>
      <c r="D103" s="130">
        <f ca="1">D102*(1-D107)+Předpoklady!$E$40*(1-Předpoklady!$E$43)*D107</f>
        <v>0.11926494545638783</v>
      </c>
      <c r="E103" s="97"/>
      <c r="F103" s="97"/>
      <c r="G103" s="97"/>
      <c r="H103" s="97"/>
      <c r="I103" s="97"/>
      <c r="J103" s="146"/>
    </row>
    <row r="104" spans="1:10" s="92" customFormat="1" x14ac:dyDescent="0.25">
      <c r="A104" s="95" t="s">
        <v>99</v>
      </c>
      <c r="B104" s="94"/>
      <c r="C104" s="143">
        <f ca="1">(D104+C92)/(1+C103)</f>
        <v>16813.979304967714</v>
      </c>
      <c r="D104" s="114">
        <f ca="1">(D$92+D$93)/(1+D103)</f>
        <v>15544.916394129976</v>
      </c>
      <c r="E104" s="97"/>
      <c r="F104" s="97"/>
      <c r="G104" s="97"/>
      <c r="H104" s="97"/>
      <c r="I104" s="97"/>
      <c r="J104" s="146"/>
    </row>
    <row r="105" spans="1:10" s="92" customFormat="1" x14ac:dyDescent="0.25">
      <c r="A105" s="93" t="s">
        <v>95</v>
      </c>
      <c r="B105" s="96"/>
      <c r="C105" s="143">
        <f>Plán!B$42</f>
        <v>7000</v>
      </c>
      <c r="D105" s="114">
        <f>Plán!C$42</f>
        <v>7000</v>
      </c>
      <c r="E105" s="97"/>
      <c r="F105" s="97"/>
      <c r="G105" s="97"/>
      <c r="H105" s="97"/>
      <c r="I105" s="97"/>
      <c r="J105" s="146"/>
    </row>
    <row r="106" spans="1:10" s="92" customFormat="1" x14ac:dyDescent="0.25">
      <c r="A106" s="85" t="s">
        <v>160</v>
      </c>
      <c r="B106" s="94"/>
      <c r="C106" s="196">
        <f ca="1">C104-C105</f>
        <v>9813.9793049677137</v>
      </c>
      <c r="D106" s="118">
        <f ca="1">D104-D105</f>
        <v>8544.9163941299757</v>
      </c>
      <c r="E106" s="115"/>
      <c r="F106" s="115"/>
      <c r="G106" s="115"/>
      <c r="H106" s="115"/>
      <c r="I106" s="115"/>
      <c r="J106" s="148"/>
    </row>
    <row r="107" spans="1:10" s="110" customFormat="1" ht="16.5" thickBot="1" x14ac:dyDescent="0.3">
      <c r="A107" s="106" t="s">
        <v>96</v>
      </c>
      <c r="B107" s="107"/>
      <c r="C107" s="149">
        <f ca="1">C105/C104</f>
        <v>0.41632024597126988</v>
      </c>
      <c r="D107" s="116">
        <f ca="1">D105/D104</f>
        <v>0.45030798638732589</v>
      </c>
      <c r="E107" s="108"/>
      <c r="F107" s="108"/>
      <c r="G107" s="108"/>
      <c r="H107" s="108"/>
      <c r="I107" s="108"/>
      <c r="J107" s="109"/>
    </row>
    <row r="108" spans="1:10" s="92" customFormat="1" x14ac:dyDescent="0.25">
      <c r="A108" s="198" t="s">
        <v>94</v>
      </c>
      <c r="B108" s="199">
        <f>E91</f>
        <v>3</v>
      </c>
      <c r="C108" s="145"/>
      <c r="D108" s="97"/>
      <c r="E108" s="97"/>
      <c r="F108" s="97"/>
      <c r="G108" s="97"/>
      <c r="H108" s="97"/>
      <c r="I108" s="97"/>
      <c r="J108" s="146"/>
    </row>
    <row r="109" spans="1:10" s="92" customFormat="1" x14ac:dyDescent="0.25">
      <c r="A109" s="95" t="s">
        <v>97</v>
      </c>
      <c r="B109" s="94"/>
      <c r="C109" s="147">
        <f ca="1">C61</f>
        <v>0.16754405983093076</v>
      </c>
      <c r="D109" s="130">
        <f ca="1">D61</f>
        <v>0.17365763323065697</v>
      </c>
      <c r="E109" s="130">
        <f ca="1">E61</f>
        <v>0.18170893444140673</v>
      </c>
      <c r="F109" s="97"/>
      <c r="G109" s="97"/>
      <c r="H109" s="97"/>
      <c r="I109" s="97"/>
      <c r="J109" s="146"/>
    </row>
    <row r="110" spans="1:10" s="92" customFormat="1" x14ac:dyDescent="0.25">
      <c r="A110" s="95" t="s">
        <v>98</v>
      </c>
      <c r="B110" s="94"/>
      <c r="C110" s="147">
        <f ca="1">C109*(1-C114)+Předpoklady!$E$40*(1-Předpoklady!$E$43)*C114</f>
        <v>0.11931788373986359</v>
      </c>
      <c r="D110" s="130">
        <f ca="1">D109*(1-D114)+Předpoklady!$E$40*(1-Předpoklady!$E$43)*D114</f>
        <v>0.11917724033895323</v>
      </c>
      <c r="E110" s="130">
        <f ca="1">E109*(1-E114)+Předpoklady!$E$40*(1-Předpoklady!$E$43)*E114</f>
        <v>0.11902977590503511</v>
      </c>
      <c r="F110" s="97"/>
      <c r="G110" s="97"/>
      <c r="H110" s="97"/>
      <c r="I110" s="97"/>
      <c r="J110" s="146"/>
    </row>
    <row r="111" spans="1:10" s="92" customFormat="1" x14ac:dyDescent="0.25">
      <c r="A111" s="95" t="s">
        <v>99</v>
      </c>
      <c r="B111" s="94"/>
      <c r="C111" s="143">
        <f ca="1">(D111+C$92)/(1+C110)</f>
        <v>17351.747259337764</v>
      </c>
      <c r="D111" s="114">
        <f ca="1">(E111+D$92)/(1+D110)</f>
        <v>16145.321021510925</v>
      </c>
      <c r="E111" s="114">
        <f ca="1">(E$92+E$93)/(1+E110)</f>
        <v>14932.595825241087</v>
      </c>
      <c r="F111" s="97"/>
      <c r="G111" s="97"/>
      <c r="H111" s="97"/>
      <c r="I111" s="97"/>
      <c r="J111" s="146"/>
    </row>
    <row r="112" spans="1:10" s="92" customFormat="1" x14ac:dyDescent="0.25">
      <c r="A112" s="93" t="s">
        <v>95</v>
      </c>
      <c r="B112" s="96"/>
      <c r="C112" s="143">
        <f>Plán!B$42</f>
        <v>7000</v>
      </c>
      <c r="D112" s="114">
        <f>Plán!C$42</f>
        <v>7000</v>
      </c>
      <c r="E112" s="114">
        <f>Plán!D$42</f>
        <v>7000</v>
      </c>
      <c r="F112" s="97"/>
      <c r="G112" s="97"/>
      <c r="H112" s="97"/>
      <c r="I112" s="97"/>
      <c r="J112" s="146"/>
    </row>
    <row r="113" spans="1:10" s="92" customFormat="1" x14ac:dyDescent="0.25">
      <c r="A113" s="85" t="s">
        <v>160</v>
      </c>
      <c r="B113" s="94"/>
      <c r="C113" s="196">
        <f ca="1">C111-C112</f>
        <v>10351.747259337764</v>
      </c>
      <c r="D113" s="118">
        <f ca="1">D111-D112</f>
        <v>9145.3210215109248</v>
      </c>
      <c r="E113" s="118">
        <f ca="1">E111-E112</f>
        <v>7932.5958252410874</v>
      </c>
      <c r="F113" s="115"/>
      <c r="G113" s="115"/>
      <c r="H113" s="115"/>
      <c r="I113" s="115"/>
      <c r="J113" s="148"/>
    </row>
    <row r="114" spans="1:10" s="110" customFormat="1" ht="16.5" thickBot="1" x14ac:dyDescent="0.3">
      <c r="A114" s="106" t="s">
        <v>96</v>
      </c>
      <c r="B114" s="107"/>
      <c r="C114" s="149">
        <f ca="1">C112/C111</f>
        <v>0.40341758644697767</v>
      </c>
      <c r="D114" s="116">
        <f ca="1">D112/D111</f>
        <v>0.43356214414527139</v>
      </c>
      <c r="E114" s="116">
        <f ca="1">E112/E111</f>
        <v>0.4687731511602059</v>
      </c>
      <c r="F114" s="108"/>
      <c r="G114" s="108"/>
      <c r="H114" s="108"/>
      <c r="I114" s="108"/>
      <c r="J114" s="109"/>
    </row>
    <row r="115" spans="1:10" x14ac:dyDescent="0.25">
      <c r="A115" s="198" t="s">
        <v>94</v>
      </c>
      <c r="B115" s="199">
        <f>F91</f>
        <v>4</v>
      </c>
      <c r="C115" s="145"/>
      <c r="D115" s="97"/>
      <c r="E115" s="97"/>
      <c r="F115" s="97"/>
      <c r="G115" s="97"/>
      <c r="H115" s="97"/>
      <c r="I115" s="97"/>
      <c r="J115" s="146"/>
    </row>
    <row r="116" spans="1:10" x14ac:dyDescent="0.25">
      <c r="A116" s="95" t="s">
        <v>97</v>
      </c>
      <c r="B116" s="94"/>
      <c r="C116" s="147">
        <f ca="1">C66</f>
        <v>0.16573162431032537</v>
      </c>
      <c r="D116" s="130">
        <f ca="1">D66</f>
        <v>0.17116531886743458</v>
      </c>
      <c r="E116" s="130">
        <f ca="1">E66</f>
        <v>0.17815379794226488</v>
      </c>
      <c r="F116" s="130">
        <f ca="1">F66</f>
        <v>0.1866132353972054</v>
      </c>
      <c r="G116" s="97"/>
      <c r="H116" s="97"/>
      <c r="I116" s="97"/>
      <c r="J116" s="146"/>
    </row>
    <row r="117" spans="1:10" x14ac:dyDescent="0.25">
      <c r="A117" s="95" t="s">
        <v>98</v>
      </c>
      <c r="B117" s="94"/>
      <c r="C117" s="147">
        <f ca="1">C116*(1-C121)+Předpoklady!$E$40*(1-Předpoklady!$E$43)*C121</f>
        <v>0.11918737319666128</v>
      </c>
      <c r="D117" s="130">
        <f ca="1">D116*(1-D121)+Předpoklady!$E$40*(1-Předpoklady!$E$43)*D121</f>
        <v>0.11903892580014655</v>
      </c>
      <c r="E117" s="130">
        <f ca="1">E116*(1-E121)+Předpoklady!$E$40*(1-Předpoklady!$E$43)*E121</f>
        <v>0.11888420988748774</v>
      </c>
      <c r="F117" s="130">
        <f ca="1">F116*(1-F121)+Předpoklady!$E$40*(1-Předpoklady!$E$43)*F121</f>
        <v>0.11876618081515805</v>
      </c>
      <c r="G117" s="97"/>
      <c r="H117" s="97"/>
      <c r="I117" s="97"/>
      <c r="J117" s="146"/>
    </row>
    <row r="118" spans="1:10" x14ac:dyDescent="0.25">
      <c r="A118" s="95" t="s">
        <v>99</v>
      </c>
      <c r="B118" s="94"/>
      <c r="C118" s="143">
        <f ca="1">(C$92+D118)/(1+C117)</f>
        <v>17706.1903554903</v>
      </c>
      <c r="D118" s="114">
        <f ca="1">(D$92+E118)/(1+D117)</f>
        <v>16539.74467328125</v>
      </c>
      <c r="E118" s="114">
        <f ca="1">(E$92+F118)/(1+E117)</f>
        <v>15371.738112197347</v>
      </c>
      <c r="F118" s="114">
        <f ca="1">(F$92+F$93)/(1+F117)</f>
        <v>14301.175692263314</v>
      </c>
      <c r="G118" s="97"/>
      <c r="H118" s="97"/>
      <c r="I118" s="97"/>
      <c r="J118" s="146"/>
    </row>
    <row r="119" spans="1:10" x14ac:dyDescent="0.25">
      <c r="A119" s="93" t="s">
        <v>95</v>
      </c>
      <c r="B119" s="96"/>
      <c r="C119" s="143">
        <f>Plán!B$42</f>
        <v>7000</v>
      </c>
      <c r="D119" s="114">
        <f>Plán!C$42</f>
        <v>7000</v>
      </c>
      <c r="E119" s="114">
        <f>Plán!D$42</f>
        <v>7000</v>
      </c>
      <c r="F119" s="114">
        <f>Plán!E$42</f>
        <v>7000</v>
      </c>
      <c r="G119" s="97"/>
      <c r="H119" s="97"/>
      <c r="I119" s="97"/>
      <c r="J119" s="146"/>
    </row>
    <row r="120" spans="1:10" x14ac:dyDescent="0.25">
      <c r="A120" s="86" t="s">
        <v>160</v>
      </c>
      <c r="B120" s="94"/>
      <c r="C120" s="196">
        <f ca="1">C118-C119</f>
        <v>10706.1903554903</v>
      </c>
      <c r="D120" s="118">
        <f ca="1">D118-D119</f>
        <v>9539.7446732812496</v>
      </c>
      <c r="E120" s="118">
        <f ca="1">E118-E119</f>
        <v>8371.7381121973467</v>
      </c>
      <c r="F120" s="118">
        <f ca="1">F118-F119</f>
        <v>7301.175692263314</v>
      </c>
      <c r="G120" s="115"/>
      <c r="H120" s="115"/>
      <c r="I120" s="115"/>
      <c r="J120" s="148"/>
    </row>
    <row r="121" spans="1:10" ht="16.5" thickBot="1" x14ac:dyDescent="0.3">
      <c r="A121" s="106" t="s">
        <v>96</v>
      </c>
      <c r="B121" s="107"/>
      <c r="C121" s="149">
        <f ca="1">C119/C118</f>
        <v>0.39534196004107985</v>
      </c>
      <c r="D121" s="116">
        <f ca="1">D119/D118</f>
        <v>0.42322297824270461</v>
      </c>
      <c r="E121" s="116">
        <f ca="1">E119/E118</f>
        <v>0.45538116437500054</v>
      </c>
      <c r="F121" s="116">
        <f ca="1">F119/F118</f>
        <v>0.48947024710610876</v>
      </c>
      <c r="G121" s="108"/>
      <c r="H121" s="108"/>
      <c r="I121" s="108"/>
      <c r="J121" s="109"/>
    </row>
    <row r="122" spans="1:10" x14ac:dyDescent="0.25">
      <c r="A122" s="198" t="s">
        <v>94</v>
      </c>
      <c r="B122" s="199">
        <f>G91</f>
        <v>5</v>
      </c>
      <c r="C122" s="145"/>
      <c r="D122" s="97"/>
      <c r="E122" s="97"/>
      <c r="F122" s="97"/>
      <c r="G122" s="97"/>
      <c r="H122" s="97"/>
      <c r="I122" s="97"/>
      <c r="J122" s="146"/>
    </row>
    <row r="123" spans="1:10" x14ac:dyDescent="0.25">
      <c r="A123" s="95" t="s">
        <v>97</v>
      </c>
      <c r="B123" s="94"/>
      <c r="C123" s="147">
        <f ca="1">C71</f>
        <v>0.16464007962225366</v>
      </c>
      <c r="D123" s="130">
        <f ca="1">D71</f>
        <v>0.16971917644307344</v>
      </c>
      <c r="E123" s="130">
        <f ca="1">E71</f>
        <v>0.17617615399686537</v>
      </c>
      <c r="F123" s="130">
        <f ca="1">F71</f>
        <v>0.18386285520447604</v>
      </c>
      <c r="G123" s="130">
        <f ca="1">G71</f>
        <v>0.19266621720882243</v>
      </c>
      <c r="H123" s="97"/>
      <c r="I123" s="97"/>
      <c r="J123" s="146"/>
    </row>
    <row r="124" spans="1:10" x14ac:dyDescent="0.25">
      <c r="A124" s="95" t="s">
        <v>98</v>
      </c>
      <c r="B124" s="94"/>
      <c r="C124" s="147">
        <f ca="1">C123*(1-C128)+Předpoklady!$E$40*(1-Předpoklady!$E$43)*C128</f>
        <v>0.11902173047249597</v>
      </c>
      <c r="D124" s="130">
        <f ca="1">D123*(1-D128)+Předpoklady!$E$40*(1-Předpoklady!$E$43)*D128</f>
        <v>0.11885611592405837</v>
      </c>
      <c r="E124" s="130">
        <f ca="1">E123*(1-E128)+Předpoklady!$E$40*(1-Předpoklady!$E$43)*E128</f>
        <v>0.1186821288063945</v>
      </c>
      <c r="F124" s="130">
        <f ca="1">F123*(1-F128)+Předpoklady!$E$40*(1-Předpoklady!$E$43)*F128</f>
        <v>0.11854314520346741</v>
      </c>
      <c r="G124" s="130">
        <f ca="1">G123*(1-G128)+Předpoklady!$E$40*(1-Předpoklady!$E$43)*G128</f>
        <v>0.11846786687043415</v>
      </c>
      <c r="H124" s="97"/>
      <c r="I124" s="97"/>
      <c r="J124" s="146"/>
    </row>
    <row r="125" spans="1:10" x14ac:dyDescent="0.25">
      <c r="A125" s="95" t="s">
        <v>99</v>
      </c>
      <c r="B125" s="94"/>
      <c r="C125" s="143">
        <f ca="1">(D125+C$92)/(1+C124)</f>
        <v>17898.073309829815</v>
      </c>
      <c r="D125" s="114">
        <f ca="1">(E125+D$92)/(1+D124)</f>
        <v>16751.532967289349</v>
      </c>
      <c r="E125" s="114">
        <f ca="1">(F125+E$92)/(1+E124)</f>
        <v>15605.675111555182</v>
      </c>
      <c r="F125" s="114">
        <f ca="1">(G125+F$92)/(1+F124)</f>
        <v>14559.770495255521</v>
      </c>
      <c r="G125" s="114">
        <f ca="1">(G$92+G$93)/(1+G124)</f>
        <v>13648.059772803756</v>
      </c>
      <c r="H125" s="97"/>
      <c r="I125" s="97"/>
      <c r="J125" s="146"/>
    </row>
    <row r="126" spans="1:10" x14ac:dyDescent="0.25">
      <c r="A126" s="93" t="s">
        <v>95</v>
      </c>
      <c r="B126" s="96"/>
      <c r="C126" s="143">
        <f>Plán!B$42</f>
        <v>7000</v>
      </c>
      <c r="D126" s="114">
        <f>Plán!C$42</f>
        <v>7000</v>
      </c>
      <c r="E126" s="114">
        <f>Plán!D$42</f>
        <v>7000</v>
      </c>
      <c r="F126" s="114">
        <f>Plán!E$42</f>
        <v>7000</v>
      </c>
      <c r="G126" s="114">
        <f>Plán!F$42</f>
        <v>7000</v>
      </c>
      <c r="H126" s="97"/>
      <c r="I126" s="97"/>
      <c r="J126" s="146"/>
    </row>
    <row r="127" spans="1:10" x14ac:dyDescent="0.25">
      <c r="A127" s="85" t="s">
        <v>160</v>
      </c>
      <c r="B127" s="94"/>
      <c r="C127" s="196">
        <f ca="1">C125-C126</f>
        <v>10898.073309829815</v>
      </c>
      <c r="D127" s="118">
        <f ca="1">D125-D126</f>
        <v>9751.5329672893495</v>
      </c>
      <c r="E127" s="118">
        <f ca="1">E125-E126</f>
        <v>8605.6751115551815</v>
      </c>
      <c r="F127" s="118">
        <f ca="1">F125-F126</f>
        <v>7559.7704952555214</v>
      </c>
      <c r="G127" s="118">
        <f ca="1">G125-G126</f>
        <v>6648.0597728037555</v>
      </c>
      <c r="H127" s="115"/>
      <c r="I127" s="115"/>
      <c r="J127" s="148"/>
    </row>
    <row r="128" spans="1:10" ht="16.5" thickBot="1" x14ac:dyDescent="0.3">
      <c r="A128" s="106" t="s">
        <v>96</v>
      </c>
      <c r="B128" s="107"/>
      <c r="C128" s="149">
        <f ca="1">C126/C125</f>
        <v>0.39110354946169118</v>
      </c>
      <c r="D128" s="116">
        <f ca="1">D126/D125</f>
        <v>0.41787220391523999</v>
      </c>
      <c r="E128" s="116">
        <f ca="1">E126/E125</f>
        <v>0.44855476933624411</v>
      </c>
      <c r="F128" s="116">
        <f ca="1">F126/F125</f>
        <v>0.48077680910430803</v>
      </c>
      <c r="G128" s="116">
        <f ca="1">G126/G125</f>
        <v>0.51289341609924477</v>
      </c>
      <c r="H128" s="108"/>
      <c r="I128" s="108"/>
      <c r="J128" s="109"/>
    </row>
    <row r="129" spans="1:10" x14ac:dyDescent="0.25">
      <c r="A129" s="198" t="s">
        <v>94</v>
      </c>
      <c r="B129" s="199">
        <f>H91</f>
        <v>6</v>
      </c>
      <c r="C129" s="145"/>
      <c r="D129" s="97"/>
      <c r="E129" s="97"/>
      <c r="F129" s="97"/>
      <c r="G129" s="97"/>
      <c r="H129" s="97"/>
      <c r="I129" s="97"/>
      <c r="J129" s="146"/>
    </row>
    <row r="130" spans="1:10" x14ac:dyDescent="0.25">
      <c r="A130" s="95" t="s">
        <v>97</v>
      </c>
      <c r="B130" s="94"/>
      <c r="C130" s="147">
        <f t="shared" ref="C130:H130" ca="1" si="20">C76</f>
        <v>0.16411612518781632</v>
      </c>
      <c r="D130" s="130">
        <f t="shared" ca="1" si="20"/>
        <v>0.16907625233234908</v>
      </c>
      <c r="E130" s="130">
        <f t="shared" ca="1" si="20"/>
        <v>0.17537038245920433</v>
      </c>
      <c r="F130" s="130">
        <f t="shared" ca="1" si="20"/>
        <v>0.1828436125558896</v>
      </c>
      <c r="G130" s="130">
        <f t="shared" ca="1" si="20"/>
        <v>0.19137501706410331</v>
      </c>
      <c r="H130" s="130">
        <f t="shared" ca="1" si="20"/>
        <v>0.20034820145606219</v>
      </c>
      <c r="I130" s="97"/>
      <c r="J130" s="146"/>
    </row>
    <row r="131" spans="1:10" x14ac:dyDescent="0.25">
      <c r="A131" s="95" t="s">
        <v>98</v>
      </c>
      <c r="B131" s="94"/>
      <c r="C131" s="147">
        <f ca="1">C130*(1-C135)+Předpoklady!$E$40*(1-Předpoklady!$E$43)*C135</f>
        <v>0.11882309407329483</v>
      </c>
      <c r="D131" s="130">
        <f ca="1">D130*(1-D135)+Předpoklady!$E$40*(1-Předpoklady!$E$43)*D135</f>
        <v>0.11863143949964866</v>
      </c>
      <c r="E131" s="130">
        <f ca="1">E130*(1-E135)+Předpoklady!$E$40*(1-Předpoklady!$E$43)*E135</f>
        <v>0.11842681683948919</v>
      </c>
      <c r="F131" s="130">
        <f ca="1">F130*(1-F135)+Předpoklady!$E$40*(1-Předpoklady!$E$43)*F135</f>
        <v>0.11825328444733271</v>
      </c>
      <c r="G131" s="130">
        <f ca="1">G130*(1-G135)+Předpoklady!$E$40*(1-Předpoklady!$E$43)*G135</f>
        <v>0.11814002269103446</v>
      </c>
      <c r="H131" s="130">
        <f ca="1">H130*(1-H135)+Předpoklady!$E$40*(1-Předpoklady!$E$43)*H135</f>
        <v>0.11812651564178712</v>
      </c>
      <c r="I131" s="97"/>
      <c r="J131" s="146"/>
    </row>
    <row r="132" spans="1:10" x14ac:dyDescent="0.25">
      <c r="A132" s="95" t="s">
        <v>99</v>
      </c>
      <c r="B132" s="94"/>
      <c r="C132" s="143">
        <f ca="1">(D132+C$92)/(1+C131)</f>
        <v>17945.649834288</v>
      </c>
      <c r="D132" s="114">
        <f ca="1">(E132+D$92)/(1+D131)</f>
        <v>16801.207472754017</v>
      </c>
      <c r="E132" s="114">
        <f ca="1">(F132+E$92)/(1+E131)</f>
        <v>15657.478900579077</v>
      </c>
      <c r="F132" s="114">
        <f ca="1">(G132+F$92)/(1+F131)</f>
        <v>14613.724926506125</v>
      </c>
      <c r="G132" s="114">
        <f ca="1">(H132+G$92)/(1+G131)</f>
        <v>13704.174186675329</v>
      </c>
      <c r="H132" s="114">
        <f ca="1">(H$92+H$93)/(1+H131)</f>
        <v>12970.269335043042</v>
      </c>
      <c r="I132" s="97"/>
      <c r="J132" s="146"/>
    </row>
    <row r="133" spans="1:10" x14ac:dyDescent="0.25">
      <c r="A133" s="93" t="s">
        <v>95</v>
      </c>
      <c r="B133" s="96"/>
      <c r="C133" s="143">
        <f>Plán!B$42</f>
        <v>7000</v>
      </c>
      <c r="D133" s="114">
        <f>Plán!C$42</f>
        <v>7000</v>
      </c>
      <c r="E133" s="114">
        <f>Plán!D$42</f>
        <v>7000</v>
      </c>
      <c r="F133" s="114">
        <f>Plán!E$42</f>
        <v>7000</v>
      </c>
      <c r="G133" s="114">
        <f>Plán!F$42</f>
        <v>7000</v>
      </c>
      <c r="H133" s="114">
        <f>Plán!G$42</f>
        <v>7000</v>
      </c>
      <c r="I133" s="97"/>
      <c r="J133" s="146"/>
    </row>
    <row r="134" spans="1:10" x14ac:dyDescent="0.25">
      <c r="A134" s="85" t="s">
        <v>160</v>
      </c>
      <c r="B134" s="94"/>
      <c r="C134" s="196">
        <f t="shared" ref="C134:H134" ca="1" si="21">C132-C133</f>
        <v>10945.649834288</v>
      </c>
      <c r="D134" s="118">
        <f t="shared" ca="1" si="21"/>
        <v>9801.2074727540166</v>
      </c>
      <c r="E134" s="118">
        <f t="shared" ca="1" si="21"/>
        <v>8657.4789005790772</v>
      </c>
      <c r="F134" s="118">
        <f t="shared" ca="1" si="21"/>
        <v>7613.7249265061255</v>
      </c>
      <c r="G134" s="118">
        <f t="shared" ca="1" si="21"/>
        <v>6704.1741866753291</v>
      </c>
      <c r="H134" s="118">
        <f t="shared" ca="1" si="21"/>
        <v>5970.2693350430418</v>
      </c>
      <c r="I134" s="115"/>
      <c r="J134" s="148"/>
    </row>
    <row r="135" spans="1:10" ht="16.5" thickBot="1" x14ac:dyDescent="0.3">
      <c r="A135" s="106" t="s">
        <v>96</v>
      </c>
      <c r="B135" s="107"/>
      <c r="C135" s="149">
        <f t="shared" ref="C135:H135" ca="1" si="22">C133/C132</f>
        <v>0.39006667714118626</v>
      </c>
      <c r="D135" s="116">
        <f t="shared" ca="1" si="22"/>
        <v>0.4166367215779983</v>
      </c>
      <c r="E135" s="116">
        <f t="shared" ca="1" si="22"/>
        <v>0.4470706966586499</v>
      </c>
      <c r="F135" s="116">
        <f t="shared" ca="1" si="22"/>
        <v>0.47900176274041667</v>
      </c>
      <c r="G135" s="116">
        <f t="shared" ca="1" si="22"/>
        <v>0.5107932739797012</v>
      </c>
      <c r="H135" s="116">
        <f t="shared" ca="1" si="22"/>
        <v>0.53969580886708479</v>
      </c>
      <c r="I135" s="108"/>
      <c r="J135" s="109"/>
    </row>
    <row r="136" spans="1:10" x14ac:dyDescent="0.25">
      <c r="A136" s="198" t="s">
        <v>94</v>
      </c>
      <c r="B136" s="199">
        <f>I91</f>
        <v>7</v>
      </c>
      <c r="C136" s="145"/>
      <c r="D136" s="97"/>
      <c r="E136" s="97"/>
      <c r="F136" s="97"/>
      <c r="G136" s="97"/>
      <c r="H136" s="97"/>
      <c r="I136" s="97"/>
      <c r="J136" s="146"/>
    </row>
    <row r="137" spans="1:10" x14ac:dyDescent="0.25">
      <c r="A137" s="95" t="s">
        <v>97</v>
      </c>
      <c r="B137" s="94"/>
      <c r="C137" s="147">
        <f ca="1">C81</f>
        <v>0.16414895591642198</v>
      </c>
      <c r="D137" s="130">
        <f t="shared" ref="D137:I137" ca="1" si="23">D81</f>
        <v>0.16920363036103495</v>
      </c>
      <c r="E137" s="130">
        <f t="shared" ca="1" si="23"/>
        <v>0.17566304578208952</v>
      </c>
      <c r="F137" s="130">
        <f t="shared" ca="1" si="23"/>
        <v>0.18341095982160133</v>
      </c>
      <c r="G137" s="130">
        <f t="shared" ca="1" si="23"/>
        <v>0.19237989092570948</v>
      </c>
      <c r="H137" s="130">
        <f t="shared" ca="1" si="23"/>
        <v>0.2019980092289809</v>
      </c>
      <c r="I137" s="130">
        <f t="shared" ca="1" si="23"/>
        <v>0.18666334319984293</v>
      </c>
      <c r="J137" s="146"/>
    </row>
    <row r="138" spans="1:10" x14ac:dyDescent="0.25">
      <c r="A138" s="95" t="s">
        <v>98</v>
      </c>
      <c r="B138" s="94"/>
      <c r="C138" s="147">
        <f ca="1">C137*(1-C142)+Předpoklady!$E$40*(1-Předpoklady!$E$43)*C142</f>
        <v>0.11861811807424449</v>
      </c>
      <c r="D138" s="130">
        <f ca="1">D137*(1-D142)+Předpoklady!$E$40*(1-Předpoklady!$E$43)*D142</f>
        <v>0.11839462455598593</v>
      </c>
      <c r="E138" s="130">
        <f ca="1">E137*(1-E142)+Předpoklady!$E$40*(1-Předpoklady!$E$43)*E142</f>
        <v>0.11815139436110166</v>
      </c>
      <c r="F138" s="130">
        <f ca="1">F137*(1-F142)+Předpoklady!$E$40*(1-Předpoklady!$E$43)*F142</f>
        <v>0.11793316777088063</v>
      </c>
      <c r="G138" s="130">
        <f ca="1">G137*(1-G142)+Předpoklady!$E$40*(1-Předpoklady!$E$43)*G142</f>
        <v>0.1177697729824649</v>
      </c>
      <c r="H138" s="130">
        <f ca="1">H137*(1-H142)+Předpoklady!$E$40*(1-Předpoklady!$E$43)*H142</f>
        <v>0.11770298024619898</v>
      </c>
      <c r="I138" s="130">
        <f ca="1">I137*(1-I142)+Předpoklady!$E$40*(1-Předpoklady!$E$43)*I142</f>
        <v>0.11876359359279033</v>
      </c>
      <c r="J138" s="146"/>
    </row>
    <row r="139" spans="1:10" x14ac:dyDescent="0.25">
      <c r="A139" s="95" t="s">
        <v>99</v>
      </c>
      <c r="B139" s="94"/>
      <c r="C139" s="143">
        <f t="shared" ref="C139:H139" ca="1" si="24">(D139+C$92)/(1+C138)</f>
        <v>17856.967496033911</v>
      </c>
      <c r="D139" s="114">
        <f t="shared" ca="1" si="24"/>
        <v>16698.327374926408</v>
      </c>
      <c r="E139" s="114">
        <f t="shared" ca="1" si="24"/>
        <v>15538.439575193766</v>
      </c>
      <c r="F139" s="114">
        <f t="shared" ca="1" si="24"/>
        <v>14476.308517198637</v>
      </c>
      <c r="G139" s="114">
        <f t="shared" ca="1" si="24"/>
        <v>13545.873727860451</v>
      </c>
      <c r="H139" s="114">
        <f t="shared" ca="1" si="24"/>
        <v>12788.251900631712</v>
      </c>
      <c r="I139" s="114">
        <f ca="1">(I$92+I$93)/(1+I138)</f>
        <v>12253.065202947988</v>
      </c>
      <c r="J139" s="146"/>
    </row>
    <row r="140" spans="1:10" x14ac:dyDescent="0.25">
      <c r="A140" s="93" t="s">
        <v>95</v>
      </c>
      <c r="B140" s="96"/>
      <c r="C140" s="143">
        <f>Plán!B$42</f>
        <v>7000</v>
      </c>
      <c r="D140" s="114">
        <f>Plán!C$42</f>
        <v>7000</v>
      </c>
      <c r="E140" s="114">
        <f>Plán!D$42</f>
        <v>7000</v>
      </c>
      <c r="F140" s="114">
        <f>Plán!E$42</f>
        <v>7000</v>
      </c>
      <c r="G140" s="114">
        <f>Plán!F$42</f>
        <v>7000</v>
      </c>
      <c r="H140" s="114">
        <f>Plán!G$42</f>
        <v>7000</v>
      </c>
      <c r="I140" s="114">
        <f>Plán!H$42</f>
        <v>6000</v>
      </c>
      <c r="J140" s="146"/>
    </row>
    <row r="141" spans="1:10" x14ac:dyDescent="0.25">
      <c r="A141" s="85" t="s">
        <v>160</v>
      </c>
      <c r="B141" s="94"/>
      <c r="C141" s="196">
        <f t="shared" ref="C141:I141" ca="1" si="25">C139-C140</f>
        <v>10856.967496033911</v>
      </c>
      <c r="D141" s="118">
        <f t="shared" ca="1" si="25"/>
        <v>9698.3273749264081</v>
      </c>
      <c r="E141" s="118">
        <f t="shared" ca="1" si="25"/>
        <v>8538.4395751937664</v>
      </c>
      <c r="F141" s="118">
        <f t="shared" ca="1" si="25"/>
        <v>7476.3085171986368</v>
      </c>
      <c r="G141" s="118">
        <f t="shared" ca="1" si="25"/>
        <v>6545.8737278604513</v>
      </c>
      <c r="H141" s="118">
        <f t="shared" ca="1" si="25"/>
        <v>5788.2519006317125</v>
      </c>
      <c r="I141" s="118">
        <f t="shared" ca="1" si="25"/>
        <v>6253.0652029479879</v>
      </c>
      <c r="J141" s="150"/>
    </row>
    <row r="142" spans="1:10" ht="16.5" thickBot="1" x14ac:dyDescent="0.3">
      <c r="A142" s="106" t="s">
        <v>96</v>
      </c>
      <c r="B142" s="107"/>
      <c r="C142" s="149">
        <f t="shared" ref="C142:I142" ca="1" si="26">C140/C139</f>
        <v>0.39200384956486717</v>
      </c>
      <c r="D142" s="116">
        <f t="shared" ca="1" si="26"/>
        <v>0.419203662907636</v>
      </c>
      <c r="E142" s="116">
        <f t="shared" ca="1" si="26"/>
        <v>0.45049568627052494</v>
      </c>
      <c r="F142" s="116">
        <f t="shared" ca="1" si="26"/>
        <v>0.48354868865108958</v>
      </c>
      <c r="G142" s="116">
        <f t="shared" ca="1" si="26"/>
        <v>0.51676253157467156</v>
      </c>
      <c r="H142" s="116">
        <f t="shared" ca="1" si="26"/>
        <v>0.54737739406386066</v>
      </c>
      <c r="I142" s="116">
        <f t="shared" ca="1" si="26"/>
        <v>0.48967339197349974</v>
      </c>
      <c r="J142" s="109"/>
    </row>
    <row r="143" spans="1:10" x14ac:dyDescent="0.25">
      <c r="A143" s="198" t="s">
        <v>94</v>
      </c>
      <c r="B143" s="199">
        <f>J91</f>
        <v>8</v>
      </c>
      <c r="C143" s="145"/>
      <c r="D143" s="97"/>
      <c r="E143" s="97"/>
      <c r="F143" s="97"/>
      <c r="G143" s="97"/>
      <c r="H143" s="97"/>
      <c r="I143" s="97"/>
      <c r="J143" s="146"/>
    </row>
    <row r="144" spans="1:10" x14ac:dyDescent="0.25">
      <c r="A144" s="95" t="s">
        <v>97</v>
      </c>
      <c r="B144" s="94"/>
      <c r="C144" s="147">
        <f ca="1">C86</f>
        <v>0.16469123433026661</v>
      </c>
      <c r="D144" s="130">
        <f t="shared" ref="D144:J144" ca="1" si="27">D86</f>
        <v>0.17004474009272727</v>
      </c>
      <c r="E144" s="130">
        <f t="shared" ca="1" si="27"/>
        <v>0.17699184104203727</v>
      </c>
      <c r="F144" s="130">
        <f t="shared" ca="1" si="27"/>
        <v>0.18551195776819029</v>
      </c>
      <c r="G144" s="130">
        <f t="shared" ca="1" si="27"/>
        <v>0.19567753955604461</v>
      </c>
      <c r="H144" s="130">
        <f t="shared" ca="1" si="27"/>
        <v>0.20704313726415746</v>
      </c>
      <c r="I144" s="130">
        <f t="shared" ca="1" si="27"/>
        <v>0.19083112766020222</v>
      </c>
      <c r="J144" s="151">
        <f t="shared" ca="1" si="27"/>
        <v>0.17440474301371089</v>
      </c>
    </row>
    <row r="145" spans="1:10" x14ac:dyDescent="0.25">
      <c r="A145" s="95" t="s">
        <v>98</v>
      </c>
      <c r="B145" s="94"/>
      <c r="C145" s="147">
        <f ca="1">C144*(1-C149)+Předpoklady!$E$40*(1-Předpoklady!$E$43)*C149</f>
        <v>0.11840352151536283</v>
      </c>
      <c r="D145" s="130">
        <f ca="1">D144*(1-D149)+Předpoklady!$E$40*(1-Předpoklady!$E$43)*D149</f>
        <v>0.11814126168209885</v>
      </c>
      <c r="E145" s="130">
        <f ca="1">E144*(1-E149)+Předpoklady!$E$40*(1-Předpoklady!$E$43)*E149</f>
        <v>0.11784970263321104</v>
      </c>
      <c r="F145" s="130">
        <f ca="1">F144*(1-F149)+Předpoklady!$E$40*(1-Předpoklady!$E$43)*F149</f>
        <v>0.11757398809106794</v>
      </c>
      <c r="G145" s="130">
        <f ca="1">G144*(1-G149)+Předpoklady!$E$40*(1-Předpoklady!$E$43)*G149</f>
        <v>0.11734441039244105</v>
      </c>
      <c r="H145" s="130">
        <f ca="1">H144*(1-H149)+Předpoklady!$E$40*(1-Předpoklady!$E$43)*H149</f>
        <v>0.11720565449831116</v>
      </c>
      <c r="I145" s="130">
        <f ca="1">I144*(1-I149)+Předpoklady!$E$40*(1-Předpoklady!$E$43)*I149</f>
        <v>0.11823254906495194</v>
      </c>
      <c r="J145" s="151">
        <f ca="1">J144*(1-J149)+Předpoklady!$E$40*(1-Předpoklady!$E$43)*J149</f>
        <v>0.11946452474552667</v>
      </c>
    </row>
    <row r="146" spans="1:10" x14ac:dyDescent="0.25">
      <c r="A146" s="95" t="s">
        <v>99</v>
      </c>
      <c r="B146" s="94"/>
      <c r="C146" s="143">
        <f ca="1">(D146+C$92)/(1+C145)</f>
        <v>17646.986438458447</v>
      </c>
      <c r="D146" s="114">
        <f t="shared" ref="D146:I146" ca="1" si="28">(E146+D$92)/(1+D145)</f>
        <v>16459.651776905775</v>
      </c>
      <c r="E146" s="114">
        <f t="shared" ca="1" si="28"/>
        <v>15267.335804677426</v>
      </c>
      <c r="F146" s="114">
        <f t="shared" ca="1" si="28"/>
        <v>14168.56742926004</v>
      </c>
      <c r="G146" s="114">
        <f t="shared" ca="1" si="28"/>
        <v>13196.750697055351</v>
      </c>
      <c r="H146" s="114">
        <f t="shared" ca="1" si="28"/>
        <v>12392.399325689348</v>
      </c>
      <c r="I146" s="114">
        <f t="shared" ca="1" si="28"/>
        <v>11804.456540933999</v>
      </c>
      <c r="J146" s="152">
        <f ca="1">(J$92+J$93)/(1+J145)</f>
        <v>11503.844269118204</v>
      </c>
    </row>
    <row r="147" spans="1:10" x14ac:dyDescent="0.25">
      <c r="A147" s="93" t="s">
        <v>95</v>
      </c>
      <c r="B147" s="96"/>
      <c r="C147" s="143">
        <f>Plán!B$42</f>
        <v>7000</v>
      </c>
      <c r="D147" s="114">
        <f>Plán!C$42</f>
        <v>7000</v>
      </c>
      <c r="E147" s="114">
        <f>Plán!D$42</f>
        <v>7000</v>
      </c>
      <c r="F147" s="114">
        <f>Plán!E$42</f>
        <v>7000</v>
      </c>
      <c r="G147" s="114">
        <f>Plán!F$42</f>
        <v>7000</v>
      </c>
      <c r="H147" s="114">
        <f>Plán!G$42</f>
        <v>7000</v>
      </c>
      <c r="I147" s="114">
        <f>Plán!H$42</f>
        <v>6000</v>
      </c>
      <c r="J147" s="152">
        <f>Plán!I$42</f>
        <v>5000</v>
      </c>
    </row>
    <row r="148" spans="1:10" x14ac:dyDescent="0.25">
      <c r="A148" s="85" t="s">
        <v>160</v>
      </c>
      <c r="B148" s="94"/>
      <c r="C148" s="196">
        <f t="shared" ref="C148:J148" ca="1" si="29">C146-C147</f>
        <v>10646.986438458447</v>
      </c>
      <c r="D148" s="118">
        <f t="shared" ca="1" si="29"/>
        <v>9459.6517769057755</v>
      </c>
      <c r="E148" s="118">
        <f t="shared" ca="1" si="29"/>
        <v>8267.3358046774265</v>
      </c>
      <c r="F148" s="118">
        <f t="shared" ca="1" si="29"/>
        <v>7168.5674292600397</v>
      </c>
      <c r="G148" s="118">
        <f t="shared" ca="1" si="29"/>
        <v>6196.7506970553513</v>
      </c>
      <c r="H148" s="118">
        <f t="shared" ca="1" si="29"/>
        <v>5392.3993256893482</v>
      </c>
      <c r="I148" s="118">
        <f t="shared" ca="1" si="29"/>
        <v>5804.4565409339993</v>
      </c>
      <c r="J148" s="150">
        <f t="shared" ca="1" si="29"/>
        <v>6503.8442691182045</v>
      </c>
    </row>
    <row r="149" spans="1:10" ht="16.5" thickBot="1" x14ac:dyDescent="0.3">
      <c r="A149" s="106" t="s">
        <v>96</v>
      </c>
      <c r="B149" s="107"/>
      <c r="C149" s="149">
        <f t="shared" ref="C149:J149" ca="1" si="30">C147/C146</f>
        <v>0.39666829372888018</v>
      </c>
      <c r="D149" s="116">
        <f t="shared" ca="1" si="30"/>
        <v>0.42528238719008421</v>
      </c>
      <c r="E149" s="116">
        <f t="shared" ca="1" si="30"/>
        <v>0.45849518799838163</v>
      </c>
      <c r="F149" s="116">
        <f t="shared" ca="1" si="30"/>
        <v>0.49405135945812262</v>
      </c>
      <c r="G149" s="116">
        <f t="shared" ca="1" si="30"/>
        <v>0.53043360147448571</v>
      </c>
      <c r="H149" s="116">
        <f t="shared" ca="1" si="30"/>
        <v>0.56486236571549575</v>
      </c>
      <c r="I149" s="116">
        <f t="shared" ca="1" si="30"/>
        <v>0.50828261167246114</v>
      </c>
      <c r="J149" s="153">
        <f t="shared" ca="1" si="30"/>
        <v>0.43463731627716662</v>
      </c>
    </row>
  </sheetData>
  <phoneticPr fontId="0" type="noConversion"/>
  <printOptions gridLinesSet="0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Header>&amp;L&amp;10Mařík, M. a kol.: Metody oceňování podniku pro pokročilé
Ekopress 2023&amp;R&amp;10Příklad: Amortizační hodnota</oddHeader>
    <oddFooter>&amp;C&amp;10Str. &amp;P&amp;R&amp;10©  Miloš Mařík, Pavla Maříková</oddFooter>
  </headerFooter>
  <rowBreaks count="3" manualBreakCount="3">
    <brk id="40" max="16383" man="1"/>
    <brk id="89" max="16383" man="1"/>
    <brk id="1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Úvod</vt:lpstr>
      <vt:lpstr>Předpoklady</vt:lpstr>
      <vt:lpstr>Plán</vt:lpstr>
      <vt:lpstr>Ocenění</vt:lpstr>
      <vt:lpstr>Iterace</vt:lpstr>
      <vt:lpstr>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Amortizační hodnota</dc:title>
  <dc:subject>Metody oceňování podniku pro pokročilé</dc:subject>
  <dc:creator>Mařík Miloš, Maříková Pavla</dc:creator>
  <cp:lastModifiedBy>Pavla Maříková</cp:lastModifiedBy>
  <cp:lastPrinted>2023-08-09T17:04:55Z</cp:lastPrinted>
  <dcterms:created xsi:type="dcterms:W3CDTF">2010-11-25T10:22:46Z</dcterms:created>
  <dcterms:modified xsi:type="dcterms:W3CDTF">2023-08-09T17:04:59Z</dcterms:modified>
</cp:coreProperties>
</file>