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y\Publikace\Knihy\Metody oceň - 2. díl 2023\Internet\"/>
    </mc:Choice>
  </mc:AlternateContent>
  <xr:revisionPtr revIDLastSave="0" documentId="13_ncr:1_{D354D180-E8D4-406D-A907-DAF1CB297D02}" xr6:coauthVersionLast="47" xr6:coauthVersionMax="47" xr10:uidLastSave="{00000000-0000-0000-0000-000000000000}"/>
  <bookViews>
    <workbookView xWindow="-120" yWindow="-120" windowWidth="29040" windowHeight="15840" tabRatio="766" xr2:uid="{00000000-000D-0000-FFFF-FFFF00000000}"/>
  </bookViews>
  <sheets>
    <sheet name="Úvod" sheetId="65" r:id="rId1"/>
    <sheet name="Obsah" sheetId="1" r:id="rId2"/>
    <sheet name="1 Aktiva" sheetId="2" r:id="rId3"/>
    <sheet name="1 Pasiva" sheetId="3" r:id="rId4"/>
    <sheet name="1 Výsledovka" sheetId="4" r:id="rId5"/>
    <sheet name="1 Cash flow" sheetId="14" r:id="rId6"/>
    <sheet name="1 Informace" sheetId="5" r:id="rId7"/>
    <sheet name="1 Společné úpravy - NOA" sheetId="17" r:id="rId8"/>
    <sheet name="1 Společné úpravy - WACC" sheetId="9" r:id="rId9"/>
    <sheet name="1 Společné úpravy - Hodnota" sheetId="19" r:id="rId10"/>
    <sheet name="2 Rezervy - Pasiva" sheetId="23" r:id="rId11"/>
    <sheet name="2 Rezervy - Výsledovka" sheetId="24" r:id="rId12"/>
    <sheet name="2 Rezervy - Cash flow" sheetId="25" r:id="rId13"/>
    <sheet name="2 Rezervy - NOA" sheetId="26" r:id="rId14"/>
    <sheet name="2 Rezervy - Hodnota" sheetId="22" r:id="rId15"/>
    <sheet name="3 Marketing - příprava" sheetId="7" r:id="rId16"/>
    <sheet name="3 Marketing - NOA" sheetId="20" r:id="rId17"/>
    <sheet name="3 Marketing - Hodnota" sheetId="21" r:id="rId18"/>
    <sheet name="4 Goodwill - příprava" sheetId="34" r:id="rId19"/>
    <sheet name="4 Goodwill - Aktiva" sheetId="28" r:id="rId20"/>
    <sheet name="4 Goodwill - NOA" sheetId="32" r:id="rId21"/>
    <sheet name="4 Goodwill - Hodnota" sheetId="33" r:id="rId22"/>
    <sheet name="5 Leasing - WACC před leas. " sheetId="55" r:id="rId23"/>
    <sheet name="5 Leasing - Hodnota před leas." sheetId="56" r:id="rId24"/>
    <sheet name="5 Leasing - H equity před leas." sheetId="53" r:id="rId25"/>
    <sheet name="5 Leasing - příprava" sheetId="6" r:id="rId26"/>
    <sheet name="5 Leasing - NOA" sheetId="45" r:id="rId27"/>
    <sheet name="5 Leasing - WACC" sheetId="51" r:id="rId28"/>
    <sheet name="5 Leasing - Hodnota entity" sheetId="52" r:id="rId29"/>
    <sheet name="6 Hodnota equity a APV" sheetId="54" r:id="rId30"/>
    <sheet name="7 Růst - WACC " sheetId="59" r:id="rId31"/>
    <sheet name="7 Růst - Hodnota entity" sheetId="60" r:id="rId32"/>
    <sheet name="7 Růst - Hodnota equity a APV" sheetId="61" r:id="rId33"/>
  </sheets>
  <externalReferences>
    <externalReference r:id="rId34"/>
  </externalReferences>
  <definedNames>
    <definedName name="rok" localSheetId="0">'[1]1 Aktiva'!$B$2</definedName>
    <definedName name="rok">Obsah!$A$9</definedName>
  </definedNames>
  <calcPr calcId="191029" iterate="1"/>
</workbook>
</file>

<file path=xl/calcChain.xml><?xml version="1.0" encoding="utf-8"?>
<calcChain xmlns="http://schemas.openxmlformats.org/spreadsheetml/2006/main">
  <c r="E11" i="23" l="1"/>
  <c r="D11" i="23"/>
  <c r="C11" i="23"/>
  <c r="B11" i="23"/>
  <c r="E13" i="23"/>
  <c r="D13" i="23"/>
  <c r="C13" i="23"/>
  <c r="B13" i="23"/>
  <c r="E11" i="3"/>
  <c r="D11" i="3"/>
  <c r="C11" i="3"/>
  <c r="B11" i="3"/>
  <c r="E12" i="3"/>
  <c r="D12" i="3"/>
  <c r="C12" i="3"/>
  <c r="B12" i="3"/>
  <c r="A10" i="1" l="1"/>
  <c r="B46" i="61" l="1"/>
  <c r="C46" i="61" s="1"/>
  <c r="D46" i="61" s="1"/>
  <c r="E46" i="61" s="1"/>
  <c r="E30" i="61"/>
  <c r="E27" i="60"/>
  <c r="E15" i="61"/>
  <c r="E15" i="60"/>
  <c r="B24" i="61"/>
  <c r="C24" i="61" s="1"/>
  <c r="D24" i="61" s="1"/>
  <c r="E24" i="61" s="1"/>
  <c r="B8" i="61"/>
  <c r="C8" i="61" s="1"/>
  <c r="D8" i="61" s="1"/>
  <c r="E8" i="61" s="1"/>
  <c r="B56" i="60"/>
  <c r="C56" i="60" s="1"/>
  <c r="D56" i="60" s="1"/>
  <c r="E56" i="60" s="1"/>
  <c r="B43" i="60"/>
  <c r="C43" i="60" s="1"/>
  <c r="D43" i="60" s="1"/>
  <c r="E43" i="60" s="1"/>
  <c r="B35" i="60"/>
  <c r="C35" i="60" s="1"/>
  <c r="D35" i="60" s="1"/>
  <c r="E35" i="60" s="1"/>
  <c r="B21" i="60"/>
  <c r="C21" i="60" s="1"/>
  <c r="D21" i="60" s="1"/>
  <c r="E21" i="60" s="1"/>
  <c r="B8" i="60"/>
  <c r="C8" i="60" s="1"/>
  <c r="D8" i="60" s="1"/>
  <c r="E8" i="60" s="1"/>
  <c r="B5" i="59"/>
  <c r="C5" i="59" s="1"/>
  <c r="D5" i="59" s="1"/>
  <c r="E5" i="59" s="1"/>
  <c r="B4" i="59"/>
  <c r="B46" i="54"/>
  <c r="C46" i="54" s="1"/>
  <c r="D46" i="54" s="1"/>
  <c r="E46" i="54" s="1"/>
  <c r="E30" i="54"/>
  <c r="E15" i="54"/>
  <c r="B24" i="54"/>
  <c r="C24" i="54" s="1"/>
  <c r="D24" i="54" s="1"/>
  <c r="E24" i="54" s="1"/>
  <c r="B8" i="54"/>
  <c r="C8" i="54" s="1"/>
  <c r="D8" i="54" s="1"/>
  <c r="E8" i="54" s="1"/>
  <c r="B56" i="52"/>
  <c r="C56" i="52" s="1"/>
  <c r="D56" i="52" s="1"/>
  <c r="E56" i="52" s="1"/>
  <c r="B43" i="52"/>
  <c r="C43" i="52" s="1"/>
  <c r="D43" i="52" s="1"/>
  <c r="E43" i="52" s="1"/>
  <c r="B35" i="52"/>
  <c r="C35" i="52" s="1"/>
  <c r="D35" i="52" s="1"/>
  <c r="E35" i="52" s="1"/>
  <c r="E27" i="52"/>
  <c r="E15" i="52"/>
  <c r="B17" i="6"/>
  <c r="B68" i="53" l="1"/>
  <c r="C68" i="53" s="1"/>
  <c r="D68" i="53" s="1"/>
  <c r="E68" i="53" s="1"/>
  <c r="B52" i="56"/>
  <c r="C52" i="56" s="1"/>
  <c r="D52" i="56" s="1"/>
  <c r="E52" i="56" s="1"/>
  <c r="B39" i="56"/>
  <c r="C39" i="56" s="1"/>
  <c r="D39" i="56" s="1"/>
  <c r="E39" i="56" s="1"/>
  <c r="B31" i="56"/>
  <c r="C31" i="56" s="1"/>
  <c r="D31" i="56" s="1"/>
  <c r="E31" i="56" s="1"/>
  <c r="B19" i="56"/>
  <c r="C19" i="56" s="1"/>
  <c r="D19" i="56" s="1"/>
  <c r="E19" i="56" s="1"/>
  <c r="B4" i="51"/>
  <c r="E21" i="28"/>
  <c r="D21" i="28"/>
  <c r="C21" i="28"/>
  <c r="B21" i="28"/>
  <c r="E20" i="28"/>
  <c r="D20" i="28"/>
  <c r="C20" i="28"/>
  <c r="B20" i="28"/>
  <c r="E19" i="28"/>
  <c r="D19" i="28"/>
  <c r="C19" i="28"/>
  <c r="B19" i="28"/>
  <c r="E17" i="28"/>
  <c r="D17" i="28"/>
  <c r="C17" i="28"/>
  <c r="B17" i="28"/>
  <c r="E16" i="28"/>
  <c r="D16" i="28"/>
  <c r="C16" i="28"/>
  <c r="B16" i="28"/>
  <c r="E15" i="28"/>
  <c r="D15" i="28"/>
  <c r="C15" i="28"/>
  <c r="B15" i="28"/>
  <c r="E12" i="28"/>
  <c r="D12" i="28"/>
  <c r="C12" i="28"/>
  <c r="B12" i="28"/>
  <c r="E10" i="28"/>
  <c r="D10" i="28"/>
  <c r="B9" i="28"/>
  <c r="E8" i="28"/>
  <c r="D8" i="28"/>
  <c r="C8" i="28"/>
  <c r="J63" i="61" l="1"/>
  <c r="H63" i="61"/>
  <c r="J48" i="61"/>
  <c r="H48" i="61"/>
  <c r="J63" i="54"/>
  <c r="H63" i="54"/>
  <c r="J48" i="54"/>
  <c r="H48" i="54"/>
  <c r="K63" i="61"/>
  <c r="I63" i="61"/>
  <c r="I48" i="61"/>
  <c r="K48" i="61"/>
  <c r="K63" i="54"/>
  <c r="I63" i="54"/>
  <c r="I48" i="54"/>
  <c r="K48" i="54"/>
  <c r="B8" i="28"/>
  <c r="E17" i="24"/>
  <c r="D17" i="24"/>
  <c r="C17" i="24"/>
  <c r="B17" i="24"/>
  <c r="E9" i="24"/>
  <c r="D9" i="24"/>
  <c r="C9" i="24"/>
  <c r="B9" i="24"/>
  <c r="E7" i="24"/>
  <c r="D7" i="24"/>
  <c r="C7" i="24"/>
  <c r="B7" i="24"/>
  <c r="E6" i="24"/>
  <c r="D6" i="24"/>
  <c r="C6" i="24"/>
  <c r="B6" i="24"/>
  <c r="E5" i="24"/>
  <c r="D5" i="24"/>
  <c r="C5" i="24"/>
  <c r="B5" i="24"/>
  <c r="D4" i="24"/>
  <c r="C4" i="24"/>
  <c r="B4" i="24"/>
  <c r="E15" i="23"/>
  <c r="D15" i="23"/>
  <c r="C15" i="23"/>
  <c r="B15" i="23"/>
  <c r="E18" i="23"/>
  <c r="D18" i="23"/>
  <c r="C18" i="23"/>
  <c r="B18" i="23"/>
  <c r="E17" i="23"/>
  <c r="D17" i="23"/>
  <c r="C17" i="23"/>
  <c r="B17" i="23"/>
  <c r="B14" i="23"/>
  <c r="E8" i="23"/>
  <c r="D8" i="23"/>
  <c r="C8" i="23"/>
  <c r="B8" i="23"/>
  <c r="E7" i="23"/>
  <c r="D7" i="23"/>
  <c r="C7" i="23"/>
  <c r="B7" i="23"/>
  <c r="E6" i="23"/>
  <c r="D6" i="23"/>
  <c r="C6" i="23"/>
  <c r="B6" i="23"/>
  <c r="B3" i="2"/>
  <c r="C3" i="2" s="1"/>
  <c r="A69" i="52" l="1"/>
  <c r="B6" i="51"/>
  <c r="B9" i="4"/>
  <c r="B3" i="61"/>
  <c r="B6" i="59"/>
  <c r="C6" i="59"/>
  <c r="B8" i="59"/>
  <c r="B9" i="59"/>
  <c r="C9" i="59"/>
  <c r="D9" i="59"/>
  <c r="E9" i="59" s="1"/>
  <c r="B15" i="59"/>
  <c r="C15" i="59" s="1"/>
  <c r="D15" i="59" s="1"/>
  <c r="E15" i="59" s="1"/>
  <c r="B16" i="59"/>
  <c r="C16" i="59" s="1"/>
  <c r="D16" i="59" s="1"/>
  <c r="E16" i="59" s="1"/>
  <c r="C12" i="60"/>
  <c r="D12" i="60"/>
  <c r="A24" i="60"/>
  <c r="C24" i="60"/>
  <c r="D24" i="60"/>
  <c r="A25" i="60"/>
  <c r="E26" i="60"/>
  <c r="C38" i="61"/>
  <c r="I38" i="61" s="1"/>
  <c r="C12" i="61"/>
  <c r="D12" i="61"/>
  <c r="A27" i="61"/>
  <c r="C27" i="61"/>
  <c r="D27" i="61"/>
  <c r="A28" i="61"/>
  <c r="E29" i="61"/>
  <c r="H40" i="61"/>
  <c r="I40" i="61"/>
  <c r="J40" i="61"/>
  <c r="K40" i="61"/>
  <c r="H46" i="61"/>
  <c r="I46" i="61" s="1"/>
  <c r="J46" i="61" s="1"/>
  <c r="K46" i="61" s="1"/>
  <c r="B61" i="61"/>
  <c r="C61" i="61" s="1"/>
  <c r="D61" i="61" s="1"/>
  <c r="E61" i="61" s="1"/>
  <c r="H61" i="61"/>
  <c r="I61" i="61" s="1"/>
  <c r="J61" i="61" s="1"/>
  <c r="K61" i="61" s="1"/>
  <c r="D8" i="24"/>
  <c r="C10" i="53" s="1"/>
  <c r="Q11" i="34"/>
  <c r="C11" i="33" s="1"/>
  <c r="C12" i="54"/>
  <c r="D12" i="7"/>
  <c r="B12" i="60"/>
  <c r="D34" i="6"/>
  <c r="C29" i="61" s="1"/>
  <c r="C17" i="6"/>
  <c r="D17" i="6"/>
  <c r="C27" i="6" s="1"/>
  <c r="E17" i="6"/>
  <c r="D27" i="6" s="1"/>
  <c r="C6" i="9"/>
  <c r="C5" i="56" s="1"/>
  <c r="I40" i="54"/>
  <c r="C8" i="24"/>
  <c r="C10" i="24" s="1"/>
  <c r="B9" i="61" s="1"/>
  <c r="B11" i="24"/>
  <c r="B12" i="24"/>
  <c r="C11" i="24"/>
  <c r="C12" i="24"/>
  <c r="C11" i="34"/>
  <c r="D11" i="34"/>
  <c r="E11" i="34"/>
  <c r="F11" i="34"/>
  <c r="G11" i="34"/>
  <c r="H11" i="34"/>
  <c r="I11" i="34"/>
  <c r="J11" i="34"/>
  <c r="K11" i="34"/>
  <c r="C8" i="45" s="1"/>
  <c r="H8" i="45" s="1"/>
  <c r="L11" i="34"/>
  <c r="B8" i="45" s="1"/>
  <c r="G8" i="45" s="1"/>
  <c r="M11" i="34"/>
  <c r="N11" i="34"/>
  <c r="O11" i="34"/>
  <c r="P11" i="34"/>
  <c r="B11" i="60" s="1"/>
  <c r="B15" i="7"/>
  <c r="C15" i="7"/>
  <c r="D15" i="7" s="1"/>
  <c r="B12" i="7"/>
  <c r="B14" i="7"/>
  <c r="B16" i="7" s="1"/>
  <c r="C12" i="7"/>
  <c r="C13" i="7"/>
  <c r="C13" i="3"/>
  <c r="C8" i="59" s="1"/>
  <c r="B15" i="3"/>
  <c r="B10" i="4"/>
  <c r="B11" i="4"/>
  <c r="B17" i="2"/>
  <c r="B13" i="2"/>
  <c r="B6" i="2"/>
  <c r="B5" i="2" s="1"/>
  <c r="B6" i="20" s="1"/>
  <c r="B10" i="2"/>
  <c r="G16" i="20" s="1"/>
  <c r="C10" i="4"/>
  <c r="C11" i="4"/>
  <c r="B6" i="14"/>
  <c r="C13" i="2"/>
  <c r="C17" i="2"/>
  <c r="B9" i="14"/>
  <c r="C15" i="3"/>
  <c r="C8" i="2"/>
  <c r="C9" i="28" s="1"/>
  <c r="C10" i="2"/>
  <c r="H17" i="32" s="1"/>
  <c r="B15" i="14"/>
  <c r="E8" i="24"/>
  <c r="E10" i="24" s="1"/>
  <c r="D22" i="53" s="1"/>
  <c r="D12" i="54"/>
  <c r="E13" i="7"/>
  <c r="E14" i="7" s="1"/>
  <c r="E34" i="6"/>
  <c r="D26" i="52" s="1"/>
  <c r="D14" i="54"/>
  <c r="E9" i="4"/>
  <c r="D15" i="19" s="1"/>
  <c r="E4" i="4"/>
  <c r="E4" i="24" s="1"/>
  <c r="D6" i="59"/>
  <c r="E6" i="59" s="1"/>
  <c r="J40" i="54"/>
  <c r="D11" i="24"/>
  <c r="D10" i="4"/>
  <c r="C6" i="14"/>
  <c r="D13" i="2"/>
  <c r="D17" i="2"/>
  <c r="C9" i="14"/>
  <c r="D15" i="3"/>
  <c r="I14" i="20" s="1"/>
  <c r="D10" i="2"/>
  <c r="C15" i="14"/>
  <c r="K40" i="54"/>
  <c r="E11" i="24"/>
  <c r="E10" i="4"/>
  <c r="D6" i="14"/>
  <c r="E13" i="2"/>
  <c r="E17" i="2"/>
  <c r="D9" i="14"/>
  <c r="E15" i="3"/>
  <c r="J15" i="32" s="1"/>
  <c r="E10" i="2"/>
  <c r="D15" i="14"/>
  <c r="C9" i="51"/>
  <c r="C6" i="51"/>
  <c r="B15" i="51"/>
  <c r="C15" i="51" s="1"/>
  <c r="D15" i="51" s="1"/>
  <c r="E15" i="51" s="1"/>
  <c r="B16" i="51"/>
  <c r="C16" i="51" s="1"/>
  <c r="D16" i="51" s="1"/>
  <c r="E16" i="51" s="1"/>
  <c r="D9" i="51"/>
  <c r="E9" i="51" s="1"/>
  <c r="D6" i="51"/>
  <c r="E6" i="51" s="1"/>
  <c r="B11" i="54"/>
  <c r="B12" i="54"/>
  <c r="C34" i="6"/>
  <c r="B14" i="54" s="1"/>
  <c r="B6" i="9"/>
  <c r="B4" i="19" s="1"/>
  <c r="H40" i="54"/>
  <c r="B8" i="51"/>
  <c r="B9" i="51"/>
  <c r="H46" i="54"/>
  <c r="I46" i="54" s="1"/>
  <c r="J46" i="54" s="1"/>
  <c r="K46" i="54" s="1"/>
  <c r="C38" i="54"/>
  <c r="I38" i="54" s="1"/>
  <c r="C26" i="52"/>
  <c r="E26" i="52"/>
  <c r="C12" i="52"/>
  <c r="C14" i="52"/>
  <c r="C12" i="56"/>
  <c r="D12" i="52"/>
  <c r="D14" i="52"/>
  <c r="D12" i="56"/>
  <c r="B11" i="52"/>
  <c r="B12" i="52"/>
  <c r="B14" i="52"/>
  <c r="B11" i="56"/>
  <c r="B12" i="56"/>
  <c r="B8" i="55"/>
  <c r="B9" i="55"/>
  <c r="B6" i="55"/>
  <c r="B13" i="55"/>
  <c r="C13" i="55" s="1"/>
  <c r="D13" i="55" s="1"/>
  <c r="B14" i="55"/>
  <c r="C14" i="55" s="1"/>
  <c r="D14" i="55" s="1"/>
  <c r="E14" i="55" s="1"/>
  <c r="C9" i="55"/>
  <c r="C6" i="55"/>
  <c r="D9" i="55"/>
  <c r="E9" i="55" s="1"/>
  <c r="D6" i="55"/>
  <c r="E6" i="55" s="1"/>
  <c r="B26" i="54"/>
  <c r="B27" i="54"/>
  <c r="B29" i="54"/>
  <c r="B23" i="53"/>
  <c r="B24" i="53"/>
  <c r="C27" i="54"/>
  <c r="C29" i="54"/>
  <c r="C24" i="53"/>
  <c r="D27" i="54"/>
  <c r="D24" i="53"/>
  <c r="E29" i="54"/>
  <c r="C24" i="52"/>
  <c r="C22" i="56"/>
  <c r="B23" i="52"/>
  <c r="B24" i="52"/>
  <c r="B21" i="56"/>
  <c r="B22" i="56"/>
  <c r="D24" i="52"/>
  <c r="D22" i="56"/>
  <c r="A3" i="56"/>
  <c r="B8" i="56"/>
  <c r="C8" i="56" s="1"/>
  <c r="D8" i="56" s="1"/>
  <c r="A22" i="56"/>
  <c r="A23" i="56"/>
  <c r="B5" i="55"/>
  <c r="C5" i="55" s="1"/>
  <c r="D5" i="55" s="1"/>
  <c r="E5" i="55" s="1"/>
  <c r="H61" i="54"/>
  <c r="I61" i="54" s="1"/>
  <c r="J61" i="54" s="1"/>
  <c r="K61" i="54" s="1"/>
  <c r="B5" i="51"/>
  <c r="C5" i="51" s="1"/>
  <c r="D5" i="51" s="1"/>
  <c r="E5" i="51" s="1"/>
  <c r="A3" i="52"/>
  <c r="B8" i="52"/>
  <c r="C8" i="52" s="1"/>
  <c r="B21" i="52"/>
  <c r="C21" i="52" s="1"/>
  <c r="D21" i="52" s="1"/>
  <c r="E21" i="52" s="1"/>
  <c r="A24" i="52"/>
  <c r="A25" i="52"/>
  <c r="A3" i="53"/>
  <c r="B8" i="53"/>
  <c r="C8" i="53" s="1"/>
  <c r="C33" i="53" s="1"/>
  <c r="B11" i="53"/>
  <c r="B12" i="53"/>
  <c r="C12" i="53"/>
  <c r="D12" i="53"/>
  <c r="B21" i="53"/>
  <c r="C21" i="53" s="1"/>
  <c r="D21" i="53" s="1"/>
  <c r="E21" i="53" s="1"/>
  <c r="B41" i="53"/>
  <c r="C41" i="53" s="1"/>
  <c r="D41" i="53" s="1"/>
  <c r="E41" i="53" s="1"/>
  <c r="B53" i="53"/>
  <c r="C53" i="53" s="1"/>
  <c r="D53" i="53" s="1"/>
  <c r="E53" i="53" s="1"/>
  <c r="A3" i="54"/>
  <c r="A27" i="54"/>
  <c r="A28" i="54"/>
  <c r="B61" i="54"/>
  <c r="C61" i="54" s="1"/>
  <c r="D61" i="54" s="1"/>
  <c r="E61" i="54" s="1"/>
  <c r="D11" i="28"/>
  <c r="B11" i="28"/>
  <c r="C11" i="28"/>
  <c r="E11" i="28"/>
  <c r="D12" i="9"/>
  <c r="E12" i="9" s="1"/>
  <c r="B16" i="9"/>
  <c r="C16" i="9" s="1"/>
  <c r="D16" i="9" s="1"/>
  <c r="B17" i="9"/>
  <c r="C17" i="9" s="1"/>
  <c r="D17" i="9" s="1"/>
  <c r="E17" i="9" s="1"/>
  <c r="D9" i="9"/>
  <c r="E9" i="9" s="1"/>
  <c r="E21" i="9" s="1"/>
  <c r="E22" i="9"/>
  <c r="J7" i="32"/>
  <c r="J17" i="32"/>
  <c r="J18" i="32"/>
  <c r="B11" i="9"/>
  <c r="B12" i="9"/>
  <c r="B9" i="9"/>
  <c r="B21" i="9" s="1"/>
  <c r="B22" i="9"/>
  <c r="C12" i="9"/>
  <c r="C9" i="9"/>
  <c r="C21" i="9" s="1"/>
  <c r="C22" i="9"/>
  <c r="D22" i="9"/>
  <c r="B11" i="33"/>
  <c r="B12" i="33"/>
  <c r="G7" i="32"/>
  <c r="G10" i="32"/>
  <c r="B73" i="33" s="1"/>
  <c r="G17" i="32"/>
  <c r="G18" i="32"/>
  <c r="C12" i="33"/>
  <c r="H7" i="32"/>
  <c r="B61" i="33" s="1"/>
  <c r="H15" i="32"/>
  <c r="H18" i="32"/>
  <c r="D10" i="33"/>
  <c r="D12" i="33"/>
  <c r="I7" i="32"/>
  <c r="D8" i="32"/>
  <c r="I8" i="32" s="1"/>
  <c r="I17" i="32"/>
  <c r="I18" i="32"/>
  <c r="B21" i="33"/>
  <c r="B22" i="33"/>
  <c r="C22" i="33"/>
  <c r="D22" i="33"/>
  <c r="G7" i="45"/>
  <c r="B34" i="6"/>
  <c r="B25" i="6"/>
  <c r="B31" i="6"/>
  <c r="G12" i="45"/>
  <c r="G20" i="45"/>
  <c r="I7" i="45"/>
  <c r="D31" i="6"/>
  <c r="C31" i="6"/>
  <c r="I19" i="45"/>
  <c r="I20" i="45"/>
  <c r="H7" i="45"/>
  <c r="H17" i="45"/>
  <c r="H20" i="45"/>
  <c r="J7" i="45"/>
  <c r="E31" i="6"/>
  <c r="J17" i="45"/>
  <c r="J19" i="45"/>
  <c r="J20" i="45"/>
  <c r="B32" i="6"/>
  <c r="J7" i="20"/>
  <c r="J14" i="20"/>
  <c r="J16" i="20"/>
  <c r="J17" i="20"/>
  <c r="B11" i="21"/>
  <c r="G7" i="20"/>
  <c r="B59" i="21" s="1"/>
  <c r="G9" i="20"/>
  <c r="B50" i="21" s="1"/>
  <c r="G17" i="20"/>
  <c r="C11" i="21"/>
  <c r="H7" i="20"/>
  <c r="H14" i="20"/>
  <c r="H17" i="20"/>
  <c r="D11" i="21"/>
  <c r="I7" i="20"/>
  <c r="C59" i="21" s="1"/>
  <c r="I16" i="20"/>
  <c r="I17" i="20"/>
  <c r="B10" i="34"/>
  <c r="C10" i="34" s="1"/>
  <c r="D10" i="34" s="1"/>
  <c r="E10" i="34" s="1"/>
  <c r="F10" i="34" s="1"/>
  <c r="G10" i="34" s="1"/>
  <c r="H10" i="34" s="1"/>
  <c r="I10" i="34" s="1"/>
  <c r="J10" i="34" s="1"/>
  <c r="K10" i="34" s="1"/>
  <c r="L10" i="34" s="1"/>
  <c r="M10" i="34" s="1"/>
  <c r="N10" i="34" s="1"/>
  <c r="O10" i="34" s="1"/>
  <c r="B9" i="34"/>
  <c r="C9" i="34" s="1"/>
  <c r="D9" i="34" s="1"/>
  <c r="E9" i="34" s="1"/>
  <c r="F9" i="34" s="1"/>
  <c r="G9" i="34" s="1"/>
  <c r="H9" i="34" s="1"/>
  <c r="I9" i="34" s="1"/>
  <c r="J9" i="34" s="1"/>
  <c r="K9" i="34" s="1"/>
  <c r="L9" i="34" s="1"/>
  <c r="M9" i="34" s="1"/>
  <c r="N9" i="34" s="1"/>
  <c r="O9" i="34" s="1"/>
  <c r="P9" i="34" s="1"/>
  <c r="Q9" i="34" s="1"/>
  <c r="B5" i="32"/>
  <c r="G5" i="32" s="1"/>
  <c r="A3" i="33"/>
  <c r="B5" i="33"/>
  <c r="B8" i="33"/>
  <c r="C8" i="33" s="1"/>
  <c r="C31" i="33" s="1"/>
  <c r="B19" i="33"/>
  <c r="C19" i="33" s="1"/>
  <c r="D19" i="33" s="1"/>
  <c r="E19" i="33" s="1"/>
  <c r="B39" i="33"/>
  <c r="C39" i="33" s="1"/>
  <c r="D39" i="33" s="1"/>
  <c r="E39" i="33" s="1"/>
  <c r="B59" i="33"/>
  <c r="C59" i="33" s="1"/>
  <c r="D59" i="33" s="1"/>
  <c r="E59" i="33" s="1"/>
  <c r="B3" i="28"/>
  <c r="C3" i="28" s="1"/>
  <c r="D3" i="28" s="1"/>
  <c r="E3" i="28" s="1"/>
  <c r="B18" i="28"/>
  <c r="B14" i="28"/>
  <c r="C14" i="28"/>
  <c r="C18" i="28"/>
  <c r="D14" i="28"/>
  <c r="D18" i="28"/>
  <c r="E14" i="28"/>
  <c r="E18" i="28"/>
  <c r="J7" i="26"/>
  <c r="D54" i="22" s="1"/>
  <c r="J13" i="26"/>
  <c r="J15" i="26"/>
  <c r="J16" i="26"/>
  <c r="G7" i="26"/>
  <c r="G8" i="26"/>
  <c r="G16" i="26"/>
  <c r="H7" i="26"/>
  <c r="C54" i="22" s="1"/>
  <c r="H13" i="26"/>
  <c r="H16" i="26"/>
  <c r="I7" i="26"/>
  <c r="I15" i="26"/>
  <c r="I16" i="26"/>
  <c r="A3" i="22"/>
  <c r="A3" i="19"/>
  <c r="B5" i="26"/>
  <c r="G5" i="26" s="1"/>
  <c r="D6" i="25"/>
  <c r="C7" i="25"/>
  <c r="D7" i="25"/>
  <c r="B7" i="25"/>
  <c r="B10" i="25"/>
  <c r="B16" i="25"/>
  <c r="C8" i="25"/>
  <c r="C10" i="25"/>
  <c r="C11" i="25"/>
  <c r="C16" i="25"/>
  <c r="D8" i="25"/>
  <c r="D10" i="25"/>
  <c r="D16" i="25"/>
  <c r="B3" i="24"/>
  <c r="B3" i="23"/>
  <c r="B16" i="23"/>
  <c r="C14" i="23"/>
  <c r="D14" i="23" s="1"/>
  <c r="E14" i="23" s="1"/>
  <c r="C16" i="23"/>
  <c r="D16" i="23"/>
  <c r="E16" i="23"/>
  <c r="G7" i="17"/>
  <c r="B65" i="19" s="1"/>
  <c r="G14" i="17"/>
  <c r="G15" i="17"/>
  <c r="H12" i="17"/>
  <c r="H15" i="17"/>
  <c r="I14" i="17"/>
  <c r="I15" i="17"/>
  <c r="J12" i="17"/>
  <c r="J14" i="17"/>
  <c r="J15" i="17"/>
  <c r="C4" i="22"/>
  <c r="B7" i="22"/>
  <c r="C7" i="22" s="1"/>
  <c r="B15" i="22"/>
  <c r="C15" i="22" s="1"/>
  <c r="D15" i="22" s="1"/>
  <c r="E15" i="22" s="1"/>
  <c r="B32" i="22"/>
  <c r="C32" i="22" s="1"/>
  <c r="D32" i="22" s="1"/>
  <c r="E32" i="22" s="1"/>
  <c r="B52" i="22"/>
  <c r="C52" i="22" s="1"/>
  <c r="D52" i="22" s="1"/>
  <c r="E52" i="22" s="1"/>
  <c r="C20" i="21"/>
  <c r="D20" i="21"/>
  <c r="B20" i="21"/>
  <c r="B5" i="20"/>
  <c r="G5" i="20" s="1"/>
  <c r="A3" i="21"/>
  <c r="C5" i="21"/>
  <c r="B8" i="21"/>
  <c r="C8" i="21" s="1"/>
  <c r="C29" i="21" s="1"/>
  <c r="B18" i="21"/>
  <c r="C18" i="21" s="1"/>
  <c r="D18" i="21" s="1"/>
  <c r="E18" i="21" s="1"/>
  <c r="B37" i="21"/>
  <c r="C37" i="21" s="1"/>
  <c r="D37" i="21" s="1"/>
  <c r="E37" i="21" s="1"/>
  <c r="B57" i="21"/>
  <c r="C57" i="21" s="1"/>
  <c r="D57" i="21" s="1"/>
  <c r="E57" i="21" s="1"/>
  <c r="B52" i="19"/>
  <c r="C52" i="19" s="1"/>
  <c r="D52" i="19" s="1"/>
  <c r="E52" i="19" s="1"/>
  <c r="B7" i="19"/>
  <c r="C7" i="19" s="1"/>
  <c r="B31" i="19"/>
  <c r="C31" i="19" s="1"/>
  <c r="D31" i="19" s="1"/>
  <c r="E31" i="19" s="1"/>
  <c r="B14" i="19"/>
  <c r="C14" i="19" s="1"/>
  <c r="D14" i="19" s="1"/>
  <c r="E14" i="19" s="1"/>
  <c r="B5" i="17"/>
  <c r="G5" i="17" s="1"/>
  <c r="B4" i="5"/>
  <c r="B19" i="5"/>
  <c r="C16" i="6"/>
  <c r="D16" i="6" s="1"/>
  <c r="E16" i="6" s="1"/>
  <c r="A5" i="6"/>
  <c r="B23" i="6"/>
  <c r="C23" i="6" s="1"/>
  <c r="D23" i="6" s="1"/>
  <c r="E23" i="6" s="1"/>
  <c r="B10" i="7"/>
  <c r="C10" i="7" s="1"/>
  <c r="B3" i="3"/>
  <c r="B3" i="4"/>
  <c r="B5" i="9"/>
  <c r="C5" i="9" s="1"/>
  <c r="D5" i="9" s="1"/>
  <c r="E5" i="9" s="1"/>
  <c r="B26" i="52"/>
  <c r="D7" i="14"/>
  <c r="C14" i="54"/>
  <c r="D13" i="7"/>
  <c r="C14" i="61"/>
  <c r="C26" i="60"/>
  <c r="B24" i="60"/>
  <c r="C14" i="60"/>
  <c r="B10" i="45"/>
  <c r="C5" i="45"/>
  <c r="H16" i="45" s="1"/>
  <c r="H24" i="45" s="1"/>
  <c r="B10" i="55"/>
  <c r="B73" i="53" s="1"/>
  <c r="D6" i="9"/>
  <c r="D5" i="54" s="1"/>
  <c r="C14" i="7"/>
  <c r="B25" i="52" s="1"/>
  <c r="B27" i="61"/>
  <c r="B14" i="60"/>
  <c r="B26" i="60"/>
  <c r="B14" i="61"/>
  <c r="B29" i="61"/>
  <c r="C5" i="61"/>
  <c r="B5" i="60"/>
  <c r="D5" i="61"/>
  <c r="D14" i="60"/>
  <c r="D26" i="60"/>
  <c r="D14" i="61"/>
  <c r="D29" i="61"/>
  <c r="D10" i="60"/>
  <c r="D10" i="61"/>
  <c r="C26" i="61"/>
  <c r="B26" i="61"/>
  <c r="B12" i="61"/>
  <c r="B11" i="61"/>
  <c r="B23" i="60"/>
  <c r="B13" i="56"/>
  <c r="D3" i="2"/>
  <c r="E3" i="2" s="1"/>
  <c r="C5" i="32"/>
  <c r="H14" i="32" s="1"/>
  <c r="H22" i="32" s="1"/>
  <c r="C3" i="3"/>
  <c r="C5" i="26"/>
  <c r="H12" i="26" s="1"/>
  <c r="H20" i="26" s="1"/>
  <c r="C3" i="23"/>
  <c r="C5" i="17"/>
  <c r="H11" i="17" s="1"/>
  <c r="H19" i="17" s="1"/>
  <c r="C3" i="4"/>
  <c r="B71" i="21"/>
  <c r="D10" i="54"/>
  <c r="D10" i="53"/>
  <c r="D10" i="21"/>
  <c r="D9" i="22"/>
  <c r="G12" i="26"/>
  <c r="G20" i="26" s="1"/>
  <c r="B38" i="61"/>
  <c r="H38" i="61" s="1"/>
  <c r="B31" i="33"/>
  <c r="D10" i="56"/>
  <c r="B9" i="60"/>
  <c r="B9" i="56"/>
  <c r="B22" i="52"/>
  <c r="B19" i="21"/>
  <c r="D9" i="54"/>
  <c r="D9" i="52"/>
  <c r="D20" i="56"/>
  <c r="D8" i="22"/>
  <c r="D9" i="33"/>
  <c r="B10" i="60"/>
  <c r="B10" i="56"/>
  <c r="D8" i="19"/>
  <c r="D9" i="19" s="1"/>
  <c r="D9" i="4"/>
  <c r="C5" i="54"/>
  <c r="C9" i="4"/>
  <c r="B52" i="33"/>
  <c r="B15" i="19"/>
  <c r="B16" i="19" s="1"/>
  <c r="B8" i="19"/>
  <c r="B9" i="19" s="1"/>
  <c r="C8" i="19"/>
  <c r="C9" i="19" s="1"/>
  <c r="C15" i="19"/>
  <c r="C16" i="19" s="1"/>
  <c r="D8" i="33"/>
  <c r="E8" i="33" s="1"/>
  <c r="E31" i="33" s="1"/>
  <c r="B38" i="54"/>
  <c r="H38" i="54" s="1"/>
  <c r="B8" i="22" l="1"/>
  <c r="B20" i="33"/>
  <c r="B24" i="33" s="1"/>
  <c r="B9" i="21"/>
  <c r="B9" i="53"/>
  <c r="B22" i="53"/>
  <c r="B8" i="24"/>
  <c r="B10" i="24" s="1"/>
  <c r="B22" i="60"/>
  <c r="D59" i="21"/>
  <c r="B9" i="54"/>
  <c r="D61" i="33"/>
  <c r="B13" i="9"/>
  <c r="B45" i="56"/>
  <c r="B73" i="52" s="1"/>
  <c r="I13" i="26"/>
  <c r="B12" i="55"/>
  <c r="B44" i="19"/>
  <c r="C10" i="14"/>
  <c r="G15" i="32"/>
  <c r="G17" i="45"/>
  <c r="I12" i="17"/>
  <c r="D11" i="25"/>
  <c r="G13" i="26"/>
  <c r="I15" i="32"/>
  <c r="I17" i="45"/>
  <c r="B59" i="56"/>
  <c r="B9" i="25"/>
  <c r="H14" i="17"/>
  <c r="B7" i="14"/>
  <c r="G15" i="26"/>
  <c r="G19" i="45"/>
  <c r="D8" i="2"/>
  <c r="E8" i="2" s="1"/>
  <c r="E9" i="28" s="1"/>
  <c r="E7" i="28" s="1"/>
  <c r="E5" i="28" s="1"/>
  <c r="H16" i="20"/>
  <c r="B24" i="22"/>
  <c r="D8" i="21"/>
  <c r="E8" i="21" s="1"/>
  <c r="E29" i="21" s="1"/>
  <c r="D16" i="19"/>
  <c r="E15" i="19"/>
  <c r="E16" i="19" s="1"/>
  <c r="P10" i="34"/>
  <c r="B6" i="28"/>
  <c r="B10" i="28" s="1"/>
  <c r="B7" i="28" s="1"/>
  <c r="B5" i="28" s="1"/>
  <c r="B6" i="45" s="1"/>
  <c r="C11" i="61"/>
  <c r="B15" i="61"/>
  <c r="B30" i="54"/>
  <c r="B27" i="52"/>
  <c r="B30" i="61"/>
  <c r="B15" i="60"/>
  <c r="B15" i="54"/>
  <c r="B15" i="52"/>
  <c r="B27" i="60"/>
  <c r="C23" i="53"/>
  <c r="C7" i="14"/>
  <c r="D30" i="61"/>
  <c r="D15" i="60"/>
  <c r="D15" i="54"/>
  <c r="D15" i="52"/>
  <c r="D27" i="60"/>
  <c r="D15" i="61"/>
  <c r="D30" i="54"/>
  <c r="D27" i="52"/>
  <c r="C15" i="52"/>
  <c r="C15" i="61"/>
  <c r="C27" i="60"/>
  <c r="C30" i="54"/>
  <c r="C27" i="52"/>
  <c r="C30" i="61"/>
  <c r="C15" i="60"/>
  <c r="C15" i="54"/>
  <c r="B8" i="32"/>
  <c r="G8" i="32" s="1"/>
  <c r="C8" i="55"/>
  <c r="C10" i="55" s="1"/>
  <c r="B23" i="56"/>
  <c r="C11" i="54"/>
  <c r="H7" i="17"/>
  <c r="B8" i="25"/>
  <c r="E8" i="45"/>
  <c r="J8" i="45" s="1"/>
  <c r="D8" i="45"/>
  <c r="I8" i="45" s="1"/>
  <c r="D11" i="4"/>
  <c r="D12" i="4" s="1"/>
  <c r="D13" i="4" s="1"/>
  <c r="D14" i="4" s="1"/>
  <c r="D15" i="4" s="1"/>
  <c r="C5" i="14" s="1"/>
  <c r="C11" i="60"/>
  <c r="B25" i="53"/>
  <c r="B28" i="61"/>
  <c r="E6" i="2"/>
  <c r="E5" i="2" s="1"/>
  <c r="E6" i="26" s="1"/>
  <c r="C26" i="54"/>
  <c r="C8" i="51"/>
  <c r="B13" i="52"/>
  <c r="C6" i="25"/>
  <c r="B16" i="14"/>
  <c r="B17" i="14" s="1"/>
  <c r="B6" i="26"/>
  <c r="B28" i="54"/>
  <c r="B13" i="61"/>
  <c r="H8" i="26"/>
  <c r="C21" i="33"/>
  <c r="H10" i="32"/>
  <c r="B59" i="53" s="1"/>
  <c r="C21" i="56"/>
  <c r="C11" i="56"/>
  <c r="D13" i="3"/>
  <c r="I9" i="20" s="1"/>
  <c r="C8" i="14"/>
  <c r="B21" i="21"/>
  <c r="B22" i="21" s="1"/>
  <c r="B25" i="60"/>
  <c r="C8" i="32"/>
  <c r="H8" i="32" s="1"/>
  <c r="C11" i="53"/>
  <c r="D12" i="24"/>
  <c r="C19" i="54" s="1"/>
  <c r="E8" i="19"/>
  <c r="E9" i="19" s="1"/>
  <c r="C23" i="60"/>
  <c r="B23" i="33"/>
  <c r="D10" i="24"/>
  <c r="C22" i="52" s="1"/>
  <c r="C61" i="33"/>
  <c r="B12" i="21"/>
  <c r="B13" i="60"/>
  <c r="H12" i="45"/>
  <c r="E8" i="32"/>
  <c r="J8" i="32" s="1"/>
  <c r="C23" i="52"/>
  <c r="D10" i="14"/>
  <c r="C6" i="2"/>
  <c r="C5" i="2" s="1"/>
  <c r="C6" i="26" s="1"/>
  <c r="B13" i="54"/>
  <c r="B13" i="33"/>
  <c r="C11" i="52"/>
  <c r="D6" i="2"/>
  <c r="D5" i="2" s="1"/>
  <c r="B13" i="53"/>
  <c r="H9" i="20"/>
  <c r="C32" i="6"/>
  <c r="B17" i="25"/>
  <c r="B18" i="25" s="1"/>
  <c r="C10" i="54"/>
  <c r="C11" i="9"/>
  <c r="C13" i="9" s="1"/>
  <c r="C15" i="9" s="1"/>
  <c r="D29" i="54"/>
  <c r="D10" i="22"/>
  <c r="B58" i="52"/>
  <c r="B63" i="61"/>
  <c r="B58" i="60"/>
  <c r="B63" i="54"/>
  <c r="B54" i="56"/>
  <c r="B55" i="53"/>
  <c r="D63" i="61"/>
  <c r="D58" i="60"/>
  <c r="D63" i="54"/>
  <c r="D58" i="52"/>
  <c r="C58" i="52"/>
  <c r="C63" i="61"/>
  <c r="C58" i="60"/>
  <c r="C63" i="54"/>
  <c r="C54" i="56"/>
  <c r="C55" i="53"/>
  <c r="D55" i="53"/>
  <c r="D54" i="56"/>
  <c r="B6" i="32"/>
  <c r="D5" i="45"/>
  <c r="I16" i="45" s="1"/>
  <c r="I24" i="45" s="1"/>
  <c r="D32" i="6"/>
  <c r="C10" i="45"/>
  <c r="B19" i="6"/>
  <c r="B27" i="6"/>
  <c r="B26" i="53"/>
  <c r="B14" i="56"/>
  <c r="D31" i="33"/>
  <c r="D14" i="7"/>
  <c r="C13" i="61" s="1"/>
  <c r="D13" i="54"/>
  <c r="D21" i="21"/>
  <c r="D13" i="56"/>
  <c r="D25" i="53"/>
  <c r="D26" i="53" s="1"/>
  <c r="D23" i="56"/>
  <c r="D24" i="56" s="1"/>
  <c r="D13" i="33"/>
  <c r="D14" i="33" s="1"/>
  <c r="D25" i="60"/>
  <c r="D28" i="61"/>
  <c r="D13" i="52"/>
  <c r="D28" i="54"/>
  <c r="D25" i="52"/>
  <c r="D13" i="53"/>
  <c r="D23" i="33"/>
  <c r="D12" i="21"/>
  <c r="D13" i="60"/>
  <c r="D13" i="61"/>
  <c r="B17" i="7"/>
  <c r="C16" i="7"/>
  <c r="E15" i="7"/>
  <c r="C28" i="61"/>
  <c r="C13" i="52"/>
  <c r="C23" i="56"/>
  <c r="C23" i="33"/>
  <c r="C25" i="53"/>
  <c r="C13" i="53"/>
  <c r="C13" i="33"/>
  <c r="C12" i="21"/>
  <c r="C21" i="21"/>
  <c r="C13" i="60"/>
  <c r="C13" i="56"/>
  <c r="C28" i="54"/>
  <c r="C25" i="52"/>
  <c r="E8" i="22"/>
  <c r="E10" i="22" s="1"/>
  <c r="C20" i="33"/>
  <c r="D19" i="21"/>
  <c r="E19" i="21" s="1"/>
  <c r="E22" i="21" s="1"/>
  <c r="E9" i="54"/>
  <c r="E16" i="54" s="1"/>
  <c r="D25" i="54"/>
  <c r="E25" i="54" s="1"/>
  <c r="E31" i="54" s="1"/>
  <c r="D25" i="61"/>
  <c r="E25" i="61" s="1"/>
  <c r="E31" i="61" s="1"/>
  <c r="D20" i="33"/>
  <c r="E22" i="53"/>
  <c r="E26" i="53" s="1"/>
  <c r="E20" i="56"/>
  <c r="E24" i="56" s="1"/>
  <c r="C16" i="22"/>
  <c r="C17" i="22" s="1"/>
  <c r="D9" i="60"/>
  <c r="E9" i="60" s="1"/>
  <c r="E16" i="60" s="1"/>
  <c r="D9" i="53"/>
  <c r="D14" i="53" s="1"/>
  <c r="D9" i="61"/>
  <c r="E9" i="61" s="1"/>
  <c r="E16" i="61" s="1"/>
  <c r="D9" i="21"/>
  <c r="D13" i="21" s="1"/>
  <c r="E9" i="33"/>
  <c r="E14" i="33" s="1"/>
  <c r="D22" i="52"/>
  <c r="E22" i="52" s="1"/>
  <c r="E28" i="52" s="1"/>
  <c r="E9" i="52"/>
  <c r="E16" i="52" s="1"/>
  <c r="E9" i="56"/>
  <c r="E14" i="56" s="1"/>
  <c r="D16" i="22"/>
  <c r="D9" i="56"/>
  <c r="E9" i="21"/>
  <c r="E13" i="21" s="1"/>
  <c r="D22" i="60"/>
  <c r="E22" i="60" s="1"/>
  <c r="E28" i="60" s="1"/>
  <c r="E9" i="53"/>
  <c r="E14" i="53" s="1"/>
  <c r="C19" i="21"/>
  <c r="C9" i="33"/>
  <c r="C22" i="53"/>
  <c r="C9" i="56"/>
  <c r="C22" i="60"/>
  <c r="C8" i="22"/>
  <c r="C20" i="56"/>
  <c r="C24" i="56" s="1"/>
  <c r="B10" i="54"/>
  <c r="B10" i="33"/>
  <c r="B6" i="25"/>
  <c r="C10" i="61"/>
  <c r="B16" i="22"/>
  <c r="B17" i="22" s="1"/>
  <c r="B20" i="56"/>
  <c r="B9" i="52"/>
  <c r="B9" i="33"/>
  <c r="B25" i="54"/>
  <c r="B25" i="61"/>
  <c r="C10" i="60"/>
  <c r="B10" i="61"/>
  <c r="C9" i="22"/>
  <c r="B9" i="22"/>
  <c r="B10" i="22" s="1"/>
  <c r="C10" i="21"/>
  <c r="B10" i="21"/>
  <c r="B13" i="21" s="1"/>
  <c r="C10" i="33"/>
  <c r="C10" i="56"/>
  <c r="C10" i="52"/>
  <c r="C25" i="54"/>
  <c r="C9" i="52"/>
  <c r="B54" i="22"/>
  <c r="B14" i="9"/>
  <c r="B24" i="9"/>
  <c r="B25" i="9" s="1"/>
  <c r="D21" i="9"/>
  <c r="C5" i="33"/>
  <c r="C5" i="60"/>
  <c r="D5" i="21"/>
  <c r="D5" i="56"/>
  <c r="B5" i="61"/>
  <c r="B5" i="54"/>
  <c r="C4" i="19"/>
  <c r="B5" i="21"/>
  <c r="B4" i="22"/>
  <c r="B5" i="53"/>
  <c r="B17" i="53" s="1"/>
  <c r="B58" i="53" s="1"/>
  <c r="B11" i="55"/>
  <c r="B15" i="55" s="1"/>
  <c r="C12" i="4"/>
  <c r="C13" i="4" s="1"/>
  <c r="C14" i="4" s="1"/>
  <c r="C15" i="4" s="1"/>
  <c r="C17" i="4" s="1"/>
  <c r="B12" i="4"/>
  <c r="B13" i="4" s="1"/>
  <c r="B14" i="4" s="1"/>
  <c r="B15" i="4" s="1"/>
  <c r="B17" i="4" s="1"/>
  <c r="C9" i="3" s="1"/>
  <c r="B15" i="9"/>
  <c r="B10" i="14"/>
  <c r="B66" i="22"/>
  <c r="B45" i="22"/>
  <c r="G12" i="17"/>
  <c r="B11" i="25"/>
  <c r="G14" i="20"/>
  <c r="B13" i="24"/>
  <c r="D38" i="54"/>
  <c r="J38" i="54" s="1"/>
  <c r="B33" i="53"/>
  <c r="D5" i="20"/>
  <c r="I5" i="20" s="1"/>
  <c r="H5" i="26"/>
  <c r="H5" i="32"/>
  <c r="H5" i="17"/>
  <c r="C3" i="25"/>
  <c r="C3" i="14"/>
  <c r="D3" i="24"/>
  <c r="B6" i="17"/>
  <c r="D8" i="14"/>
  <c r="E3" i="3"/>
  <c r="E5" i="20"/>
  <c r="E5" i="45"/>
  <c r="J16" i="45" s="1"/>
  <c r="J24" i="45" s="1"/>
  <c r="D3" i="25"/>
  <c r="E5" i="26"/>
  <c r="E3" i="23"/>
  <c r="E5" i="17"/>
  <c r="J5" i="17" s="1"/>
  <c r="E3" i="4"/>
  <c r="E5" i="32"/>
  <c r="E3" i="24"/>
  <c r="D3" i="14"/>
  <c r="E8" i="56"/>
  <c r="B29" i="21"/>
  <c r="G13" i="20"/>
  <c r="G21" i="20" s="1"/>
  <c r="D3" i="3"/>
  <c r="D5" i="32"/>
  <c r="D3" i="4"/>
  <c r="D5" i="17"/>
  <c r="D3" i="23"/>
  <c r="D5" i="26"/>
  <c r="B3" i="14"/>
  <c r="C5" i="20"/>
  <c r="H5" i="20" s="1"/>
  <c r="C3" i="24"/>
  <c r="B3" i="25"/>
  <c r="B8" i="14"/>
  <c r="D9" i="25"/>
  <c r="C9" i="25"/>
  <c r="H15" i="26"/>
  <c r="H19" i="45"/>
  <c r="D7" i="22"/>
  <c r="D24" i="22" s="1"/>
  <c r="C24" i="22"/>
  <c r="D8" i="53"/>
  <c r="E8" i="53" s="1"/>
  <c r="E33" i="53" s="1"/>
  <c r="G14" i="32"/>
  <c r="G22" i="32" s="1"/>
  <c r="B10" i="19"/>
  <c r="B17" i="19" s="1"/>
  <c r="B18" i="19" s="1"/>
  <c r="B53" i="19" s="1"/>
  <c r="E16" i="9"/>
  <c r="A12" i="7"/>
  <c r="B5" i="56"/>
  <c r="B5" i="52"/>
  <c r="C13" i="24"/>
  <c r="C14" i="24" s="1"/>
  <c r="C15" i="24" s="1"/>
  <c r="C16" i="24" s="1"/>
  <c r="B5" i="25" s="1"/>
  <c r="D8" i="52"/>
  <c r="D7" i="19"/>
  <c r="C23" i="19"/>
  <c r="B23" i="19"/>
  <c r="G11" i="17"/>
  <c r="G19" i="17" s="1"/>
  <c r="B5" i="45"/>
  <c r="C10" i="19"/>
  <c r="C11" i="19" s="1"/>
  <c r="C24" i="19" s="1"/>
  <c r="A13" i="7"/>
  <c r="D10" i="7"/>
  <c r="E10" i="7" s="1"/>
  <c r="E13" i="55"/>
  <c r="D5" i="60"/>
  <c r="D4" i="19"/>
  <c r="D10" i="19" s="1"/>
  <c r="D5" i="53"/>
  <c r="E6" i="9"/>
  <c r="D5" i="52"/>
  <c r="D5" i="33"/>
  <c r="D4" i="22"/>
  <c r="E38" i="54"/>
  <c r="K38" i="54" s="1"/>
  <c r="H5" i="45"/>
  <c r="B10" i="53"/>
  <c r="B14" i="53" s="1"/>
  <c r="C5" i="53"/>
  <c r="B10" i="52"/>
  <c r="D10" i="52"/>
  <c r="C5" i="52"/>
  <c r="C9" i="54" l="1"/>
  <c r="C9" i="53"/>
  <c r="B14" i="24"/>
  <c r="B15" i="24" s="1"/>
  <c r="B16" i="24" s="1"/>
  <c r="B18" i="24" s="1"/>
  <c r="C9" i="23" s="1"/>
  <c r="C9" i="61"/>
  <c r="C11" i="14"/>
  <c r="D8" i="55"/>
  <c r="I8" i="26"/>
  <c r="B10" i="3"/>
  <c r="B5" i="3" s="1"/>
  <c r="C17" i="53"/>
  <c r="C58" i="53" s="1"/>
  <c r="C24" i="9"/>
  <c r="C26" i="9" s="1"/>
  <c r="D13" i="24"/>
  <c r="D14" i="24" s="1"/>
  <c r="D15" i="24" s="1"/>
  <c r="D16" i="24" s="1"/>
  <c r="D18" i="24" s="1"/>
  <c r="C10" i="23"/>
  <c r="D6" i="20"/>
  <c r="D6" i="26"/>
  <c r="D6" i="17"/>
  <c r="B10" i="23"/>
  <c r="B5" i="23" s="1"/>
  <c r="G6" i="32" s="1"/>
  <c r="G11" i="32" s="1"/>
  <c r="D9" i="28"/>
  <c r="D7" i="28" s="1"/>
  <c r="D5" i="28" s="1"/>
  <c r="D6" i="32" s="1"/>
  <c r="D29" i="21"/>
  <c r="C59" i="56"/>
  <c r="C45" i="56"/>
  <c r="C73" i="53"/>
  <c r="C12" i="55"/>
  <c r="D13" i="25"/>
  <c r="D15" i="25" s="1"/>
  <c r="C22" i="21"/>
  <c r="C24" i="33"/>
  <c r="B24" i="56"/>
  <c r="B17" i="51"/>
  <c r="B17" i="59"/>
  <c r="C17" i="51"/>
  <c r="C17" i="59"/>
  <c r="C6" i="17"/>
  <c r="B12" i="14"/>
  <c r="B14" i="14" s="1"/>
  <c r="E6" i="17"/>
  <c r="D12" i="14"/>
  <c r="D14" i="14" s="1"/>
  <c r="B13" i="25"/>
  <c r="B15" i="25" s="1"/>
  <c r="E6" i="20"/>
  <c r="D14" i="56"/>
  <c r="C6" i="20"/>
  <c r="C11" i="55"/>
  <c r="C15" i="55" s="1"/>
  <c r="Q10" i="34"/>
  <c r="C6" i="28"/>
  <c r="C10" i="28" s="1"/>
  <c r="C7" i="28" s="1"/>
  <c r="C5" i="28" s="1"/>
  <c r="D17" i="4"/>
  <c r="C13" i="25"/>
  <c r="C15" i="25" s="1"/>
  <c r="C19" i="61"/>
  <c r="C9" i="60"/>
  <c r="C25" i="61"/>
  <c r="C9" i="21"/>
  <c r="C13" i="21" s="1"/>
  <c r="D8" i="59"/>
  <c r="E8" i="59" s="1"/>
  <c r="I10" i="32"/>
  <c r="C59" i="53" s="1"/>
  <c r="E12" i="24"/>
  <c r="C17" i="25"/>
  <c r="C18" i="25" s="1"/>
  <c r="I12" i="45"/>
  <c r="I7" i="17"/>
  <c r="C16" i="14"/>
  <c r="C17" i="14" s="1"/>
  <c r="D8" i="51"/>
  <c r="E8" i="51" s="1"/>
  <c r="E13" i="3"/>
  <c r="D11" i="9"/>
  <c r="E11" i="4"/>
  <c r="E12" i="4" s="1"/>
  <c r="E13" i="4" s="1"/>
  <c r="E14" i="4" s="1"/>
  <c r="E15" i="4" s="1"/>
  <c r="D10" i="3"/>
  <c r="C12" i="14"/>
  <c r="C14" i="14" s="1"/>
  <c r="C14" i="9"/>
  <c r="C18" i="9" s="1"/>
  <c r="C19" i="9" s="1"/>
  <c r="C13" i="54"/>
  <c r="C25" i="60"/>
  <c r="B5" i="14"/>
  <c r="B11" i="14" s="1"/>
  <c r="B18" i="14" s="1"/>
  <c r="B14" i="33"/>
  <c r="J5" i="45"/>
  <c r="I13" i="20"/>
  <c r="I21" i="20" s="1"/>
  <c r="I5" i="45"/>
  <c r="C18" i="24"/>
  <c r="D9" i="23" s="1"/>
  <c r="C10" i="3"/>
  <c r="C5" i="3" s="1"/>
  <c r="B19" i="61"/>
  <c r="B19" i="54"/>
  <c r="E32" i="6"/>
  <c r="E10" i="45" s="1"/>
  <c r="D10" i="45"/>
  <c r="B26" i="6"/>
  <c r="B28" i="6" s="1"/>
  <c r="C14" i="53"/>
  <c r="C26" i="53"/>
  <c r="C14" i="56"/>
  <c r="B18" i="55"/>
  <c r="E6" i="32"/>
  <c r="E6" i="45"/>
  <c r="D6" i="45"/>
  <c r="D22" i="21"/>
  <c r="B9" i="32"/>
  <c r="G9" i="32" s="1"/>
  <c r="B9" i="45"/>
  <c r="G9" i="45" s="1"/>
  <c r="B8" i="20"/>
  <c r="G8" i="20" s="1"/>
  <c r="C17" i="7"/>
  <c r="D16" i="7"/>
  <c r="E7" i="22"/>
  <c r="E24" i="22" s="1"/>
  <c r="E20" i="33"/>
  <c r="E24" i="33" s="1"/>
  <c r="D24" i="33"/>
  <c r="D17" i="22"/>
  <c r="E16" i="22"/>
  <c r="E17" i="22" s="1"/>
  <c r="C14" i="33"/>
  <c r="C10" i="22"/>
  <c r="B26" i="9"/>
  <c r="B18" i="9"/>
  <c r="B19" i="9" s="1"/>
  <c r="E8" i="55"/>
  <c r="D10" i="55"/>
  <c r="B12" i="25"/>
  <c r="H13" i="20"/>
  <c r="H21" i="20" s="1"/>
  <c r="D33" i="53"/>
  <c r="J11" i="17"/>
  <c r="J19" i="17" s="1"/>
  <c r="I14" i="32"/>
  <c r="I22" i="32" s="1"/>
  <c r="I5" i="32"/>
  <c r="J5" i="26"/>
  <c r="J12" i="26"/>
  <c r="J20" i="26" s="1"/>
  <c r="J13" i="20"/>
  <c r="J21" i="20" s="1"/>
  <c r="J5" i="20"/>
  <c r="I12" i="26"/>
  <c r="I20" i="26" s="1"/>
  <c r="I5" i="26"/>
  <c r="I5" i="17"/>
  <c r="I11" i="17"/>
  <c r="I19" i="17" s="1"/>
  <c r="J5" i="32"/>
  <c r="J14" i="32"/>
  <c r="J22" i="32" s="1"/>
  <c r="B25" i="33"/>
  <c r="B26" i="33" s="1"/>
  <c r="B60" i="33" s="1"/>
  <c r="B15" i="33"/>
  <c r="B16" i="33" s="1"/>
  <c r="B32" i="33" s="1"/>
  <c r="B27" i="53"/>
  <c r="B28" i="53" s="1"/>
  <c r="B54" i="53" s="1"/>
  <c r="B23" i="21"/>
  <c r="B24" i="21" s="1"/>
  <c r="B58" i="21" s="1"/>
  <c r="B11" i="22"/>
  <c r="B15" i="53"/>
  <c r="B16" i="53" s="1"/>
  <c r="B25" i="56"/>
  <c r="B15" i="56"/>
  <c r="B16" i="56" s="1"/>
  <c r="B32" i="56" s="1"/>
  <c r="B14" i="21"/>
  <c r="B15" i="21" s="1"/>
  <c r="B30" i="21" s="1"/>
  <c r="B11" i="19"/>
  <c r="B24" i="19" s="1"/>
  <c r="E7" i="19"/>
  <c r="E23" i="19" s="1"/>
  <c r="D23" i="19"/>
  <c r="E8" i="52"/>
  <c r="G5" i="45"/>
  <c r="G16" i="45"/>
  <c r="G24" i="45" s="1"/>
  <c r="D38" i="61"/>
  <c r="J38" i="61" s="1"/>
  <c r="E38" i="61"/>
  <c r="K38" i="61" s="1"/>
  <c r="D11" i="19"/>
  <c r="D24" i="19" s="1"/>
  <c r="D15" i="56"/>
  <c r="D25" i="56"/>
  <c r="D26" i="56" s="1"/>
  <c r="D53" i="56" s="1"/>
  <c r="D11" i="22"/>
  <c r="D14" i="21"/>
  <c r="D15" i="21" s="1"/>
  <c r="D30" i="21" s="1"/>
  <c r="D23" i="21"/>
  <c r="D25" i="33"/>
  <c r="D15" i="33"/>
  <c r="D16" i="33" s="1"/>
  <c r="D32" i="33" s="1"/>
  <c r="D15" i="53"/>
  <c r="D16" i="53" s="1"/>
  <c r="D27" i="53"/>
  <c r="D28" i="53" s="1"/>
  <c r="D54" i="53" s="1"/>
  <c r="D17" i="19"/>
  <c r="D18" i="19" s="1"/>
  <c r="D53" i="19" s="1"/>
  <c r="G6" i="17"/>
  <c r="G8" i="17" s="1"/>
  <c r="B4" i="3"/>
  <c r="E5" i="56"/>
  <c r="E5" i="61"/>
  <c r="E5" i="60"/>
  <c r="E5" i="52"/>
  <c r="E4" i="19"/>
  <c r="E10" i="19" s="1"/>
  <c r="E4" i="22"/>
  <c r="E5" i="54"/>
  <c r="E5" i="33"/>
  <c r="E5" i="21"/>
  <c r="E5" i="53"/>
  <c r="C5" i="23"/>
  <c r="D9" i="3"/>
  <c r="C17" i="19"/>
  <c r="C18" i="19" s="1"/>
  <c r="C53" i="19" s="1"/>
  <c r="C25" i="33"/>
  <c r="C15" i="33"/>
  <c r="C25" i="56"/>
  <c r="C26" i="56" s="1"/>
  <c r="C53" i="56" s="1"/>
  <c r="C11" i="22"/>
  <c r="C14" i="21"/>
  <c r="C15" i="53"/>
  <c r="C23" i="21"/>
  <c r="C15" i="56"/>
  <c r="C27" i="53"/>
  <c r="C16" i="33" l="1"/>
  <c r="C32" i="33" s="1"/>
  <c r="C26" i="33"/>
  <c r="C60" i="33" s="1"/>
  <c r="C24" i="21"/>
  <c r="C58" i="21" s="1"/>
  <c r="D24" i="21"/>
  <c r="D58" i="21" s="1"/>
  <c r="G6" i="26"/>
  <c r="G9" i="26" s="1"/>
  <c r="B4" i="23"/>
  <c r="G6" i="20"/>
  <c r="G10" i="20" s="1"/>
  <c r="C25" i="9"/>
  <c r="C28" i="9" s="1"/>
  <c r="C18" i="14"/>
  <c r="D10" i="23"/>
  <c r="D5" i="23" s="1"/>
  <c r="C5" i="25"/>
  <c r="C12" i="25" s="1"/>
  <c r="C19" i="25" s="1"/>
  <c r="G6" i="45"/>
  <c r="B19" i="25"/>
  <c r="E11" i="9"/>
  <c r="D13" i="9"/>
  <c r="E13" i="24"/>
  <c r="E14" i="24" s="1"/>
  <c r="E15" i="24" s="1"/>
  <c r="E16" i="24" s="1"/>
  <c r="D19" i="61"/>
  <c r="E19" i="61" s="1"/>
  <c r="D19" i="54"/>
  <c r="E19" i="54" s="1"/>
  <c r="J7" i="17"/>
  <c r="J10" i="32"/>
  <c r="D59" i="53" s="1"/>
  <c r="J8" i="26"/>
  <c r="J12" i="45"/>
  <c r="J9" i="20"/>
  <c r="D17" i="25"/>
  <c r="D18" i="25" s="1"/>
  <c r="D16" i="14"/>
  <c r="D17" i="14" s="1"/>
  <c r="C28" i="53"/>
  <c r="C54" i="53" s="1"/>
  <c r="D16" i="56"/>
  <c r="D32" i="56" s="1"/>
  <c r="C15" i="21"/>
  <c r="C30" i="21" s="1"/>
  <c r="D17" i="53"/>
  <c r="D18" i="53" s="1"/>
  <c r="D34" i="53" s="1"/>
  <c r="E10" i="3"/>
  <c r="D5" i="14"/>
  <c r="D11" i="14" s="1"/>
  <c r="E17" i="4"/>
  <c r="C6" i="32"/>
  <c r="C6" i="45"/>
  <c r="B26" i="56"/>
  <c r="B53" i="56" s="1"/>
  <c r="B28" i="9"/>
  <c r="B31" i="21" s="1"/>
  <c r="B39" i="21" s="1"/>
  <c r="E32" i="61"/>
  <c r="E33" i="61" s="1"/>
  <c r="E62" i="61" s="1"/>
  <c r="E20" i="61"/>
  <c r="E17" i="61"/>
  <c r="E18" i="61" s="1"/>
  <c r="E17" i="60"/>
  <c r="E29" i="60"/>
  <c r="E32" i="54"/>
  <c r="E33" i="54" s="1"/>
  <c r="E62" i="54" s="1"/>
  <c r="E65" i="54" s="1"/>
  <c r="K62" i="54" s="1"/>
  <c r="K64" i="54" s="1"/>
  <c r="E20" i="54"/>
  <c r="E17" i="54"/>
  <c r="E17" i="52"/>
  <c r="E18" i="52" s="1"/>
  <c r="E36" i="52" s="1"/>
  <c r="E29" i="52"/>
  <c r="B16" i="55"/>
  <c r="B29" i="6"/>
  <c r="B35" i="6"/>
  <c r="B36" i="6" s="1"/>
  <c r="G10" i="45" s="1"/>
  <c r="C16" i="53"/>
  <c r="C18" i="53" s="1"/>
  <c r="C34" i="53" s="1"/>
  <c r="B18" i="53"/>
  <c r="B34" i="53" s="1"/>
  <c r="C16" i="56"/>
  <c r="C32" i="56" s="1"/>
  <c r="E16" i="7"/>
  <c r="E17" i="7" s="1"/>
  <c r="D17" i="7"/>
  <c r="C9" i="32"/>
  <c r="H9" i="32" s="1"/>
  <c r="C8" i="20"/>
  <c r="H8" i="20" s="1"/>
  <c r="C9" i="45"/>
  <c r="H9" i="45" s="1"/>
  <c r="D26" i="33"/>
  <c r="D60" i="33" s="1"/>
  <c r="D45" i="56"/>
  <c r="D73" i="53"/>
  <c r="D12" i="55"/>
  <c r="D59" i="56"/>
  <c r="E10" i="55"/>
  <c r="D11" i="55"/>
  <c r="B12" i="22"/>
  <c r="B25" i="22" s="1"/>
  <c r="B18" i="22"/>
  <c r="B19" i="22" s="1"/>
  <c r="B53" i="22" s="1"/>
  <c r="C18" i="22"/>
  <c r="C19" i="22" s="1"/>
  <c r="C53" i="22" s="1"/>
  <c r="C12" i="22"/>
  <c r="C25" i="22" s="1"/>
  <c r="E9" i="3"/>
  <c r="D5" i="3"/>
  <c r="E9" i="23"/>
  <c r="B21" i="2"/>
  <c r="D12" i="22"/>
  <c r="D25" i="22" s="1"/>
  <c r="D18" i="22"/>
  <c r="D19" i="22" s="1"/>
  <c r="D53" i="22" s="1"/>
  <c r="C4" i="3"/>
  <c r="H6" i="17"/>
  <c r="H8" i="17" s="1"/>
  <c r="H6" i="32"/>
  <c r="H11" i="32" s="1"/>
  <c r="H6" i="45"/>
  <c r="H6" i="20"/>
  <c r="H6" i="26"/>
  <c r="H9" i="26" s="1"/>
  <c r="C4" i="23"/>
  <c r="E15" i="56"/>
  <c r="E16" i="56" s="1"/>
  <c r="E32" i="56" s="1"/>
  <c r="E11" i="22"/>
  <c r="E17" i="19"/>
  <c r="E18" i="19" s="1"/>
  <c r="E53" i="19" s="1"/>
  <c r="E55" i="19" s="1"/>
  <c r="E18" i="60"/>
  <c r="E36" i="60" s="1"/>
  <c r="E30" i="60"/>
  <c r="E57" i="60" s="1"/>
  <c r="E23" i="21"/>
  <c r="E24" i="21" s="1"/>
  <c r="E58" i="21" s="1"/>
  <c r="E61" i="21" s="1"/>
  <c r="E25" i="56"/>
  <c r="E26" i="56" s="1"/>
  <c r="E53" i="56" s="1"/>
  <c r="E56" i="56" s="1"/>
  <c r="E30" i="52"/>
  <c r="E57" i="52" s="1"/>
  <c r="E60" i="52" s="1"/>
  <c r="E25" i="33"/>
  <c r="E26" i="33" s="1"/>
  <c r="E60" i="33" s="1"/>
  <c r="E63" i="33" s="1"/>
  <c r="E27" i="53"/>
  <c r="E28" i="53" s="1"/>
  <c r="E54" i="53" s="1"/>
  <c r="E57" i="53" s="1"/>
  <c r="E18" i="54"/>
  <c r="E15" i="53"/>
  <c r="E16" i="53" s="1"/>
  <c r="E15" i="33"/>
  <c r="E16" i="33" s="1"/>
  <c r="E32" i="33" s="1"/>
  <c r="E14" i="21"/>
  <c r="E15" i="21" s="1"/>
  <c r="E30" i="21" s="1"/>
  <c r="E11" i="19"/>
  <c r="E24" i="19" s="1"/>
  <c r="C25" i="19" l="1"/>
  <c r="C33" i="19" s="1"/>
  <c r="C56" i="19" s="1"/>
  <c r="C31" i="21"/>
  <c r="C39" i="21" s="1"/>
  <c r="C62" i="21" s="1"/>
  <c r="C33" i="33"/>
  <c r="C41" i="33" s="1"/>
  <c r="C64" i="33" s="1"/>
  <c r="C26" i="22"/>
  <c r="C34" i="22" s="1"/>
  <c r="C57" i="22" s="1"/>
  <c r="E66" i="54"/>
  <c r="E66" i="61"/>
  <c r="B22" i="28"/>
  <c r="B12" i="2"/>
  <c r="E5" i="3"/>
  <c r="J6" i="17" s="1"/>
  <c r="J8" i="17" s="1"/>
  <c r="D15" i="9"/>
  <c r="D24" i="9"/>
  <c r="D26" i="9" s="1"/>
  <c r="D14" i="9"/>
  <c r="E13" i="9"/>
  <c r="E14" i="9" s="1"/>
  <c r="D18" i="14"/>
  <c r="D58" i="53"/>
  <c r="E17" i="53"/>
  <c r="E58" i="53" s="1"/>
  <c r="E60" i="53" s="1"/>
  <c r="B33" i="33"/>
  <c r="B41" i="33" s="1"/>
  <c r="B42" i="33" s="1"/>
  <c r="C42" i="33" s="1"/>
  <c r="B25" i="19"/>
  <c r="B33" i="19" s="1"/>
  <c r="B10" i="51"/>
  <c r="B10" i="59"/>
  <c r="H10" i="20"/>
  <c r="E18" i="24"/>
  <c r="E10" i="23"/>
  <c r="E5" i="23" s="1"/>
  <c r="D5" i="25"/>
  <c r="D12" i="25" s="1"/>
  <c r="D19" i="25" s="1"/>
  <c r="B62" i="21"/>
  <c r="B63" i="21" s="1"/>
  <c r="C63" i="21" s="1"/>
  <c r="B40" i="21"/>
  <c r="C40" i="21" s="1"/>
  <c r="B26" i="22"/>
  <c r="B34" i="22" s="1"/>
  <c r="D15" i="55"/>
  <c r="C25" i="6"/>
  <c r="G11" i="45"/>
  <c r="C18" i="55"/>
  <c r="C16" i="55"/>
  <c r="E9" i="32"/>
  <c r="J9" i="32" s="1"/>
  <c r="E9" i="45"/>
  <c r="J9" i="45" s="1"/>
  <c r="E8" i="20"/>
  <c r="J8" i="20" s="1"/>
  <c r="D9" i="32"/>
  <c r="I9" i="32" s="1"/>
  <c r="D9" i="45"/>
  <c r="I9" i="45" s="1"/>
  <c r="D8" i="20"/>
  <c r="I8" i="20" s="1"/>
  <c r="E45" i="56"/>
  <c r="E59" i="56"/>
  <c r="E12" i="55"/>
  <c r="E73" i="53"/>
  <c r="E11" i="55"/>
  <c r="E69" i="53"/>
  <c r="E70" i="53" s="1"/>
  <c r="E21" i="61"/>
  <c r="E39" i="61" s="1"/>
  <c r="K39" i="61"/>
  <c r="E68" i="54"/>
  <c r="E21" i="54"/>
  <c r="E39" i="54" s="1"/>
  <c r="K39" i="54"/>
  <c r="E12" i="22"/>
  <c r="E25" i="22" s="1"/>
  <c r="E18" i="22"/>
  <c r="E19" i="22" s="1"/>
  <c r="E53" i="22" s="1"/>
  <c r="E56" i="22" s="1"/>
  <c r="G18" i="45"/>
  <c r="G21" i="45" s="1"/>
  <c r="B4" i="25"/>
  <c r="B20" i="25" s="1"/>
  <c r="C4" i="25" s="1"/>
  <c r="C20" i="25" s="1"/>
  <c r="D4" i="25" s="1"/>
  <c r="G14" i="26"/>
  <c r="G17" i="26" s="1"/>
  <c r="G16" i="32"/>
  <c r="G19" i="32" s="1"/>
  <c r="G15" i="20"/>
  <c r="G18" i="20" s="1"/>
  <c r="B4" i="14"/>
  <c r="B19" i="14" s="1"/>
  <c r="C4" i="14" s="1"/>
  <c r="C19" i="14" s="1"/>
  <c r="D4" i="14" s="1"/>
  <c r="D19" i="14" s="1"/>
  <c r="G13" i="17"/>
  <c r="G16" i="17" s="1"/>
  <c r="C21" i="2"/>
  <c r="I6" i="45"/>
  <c r="I6" i="26"/>
  <c r="I9" i="26" s="1"/>
  <c r="D4" i="23"/>
  <c r="I6" i="20"/>
  <c r="I6" i="32"/>
  <c r="I6" i="17"/>
  <c r="I8" i="17" s="1"/>
  <c r="D4" i="3"/>
  <c r="B13" i="28" l="1"/>
  <c r="B4" i="28" s="1"/>
  <c r="E4" i="3"/>
  <c r="D20" i="25"/>
  <c r="J6" i="45"/>
  <c r="J6" i="20"/>
  <c r="J10" i="20" s="1"/>
  <c r="C22" i="28"/>
  <c r="C12" i="2"/>
  <c r="D25" i="9"/>
  <c r="E15" i="55"/>
  <c r="B64" i="33"/>
  <c r="B65" i="33" s="1"/>
  <c r="C65" i="33" s="1"/>
  <c r="J6" i="26"/>
  <c r="J9" i="26" s="1"/>
  <c r="J6" i="32"/>
  <c r="J11" i="32" s="1"/>
  <c r="E18" i="53"/>
  <c r="E34" i="53" s="1"/>
  <c r="B34" i="19"/>
  <c r="C34" i="19" s="1"/>
  <c r="B56" i="19"/>
  <c r="B57" i="19" s="1"/>
  <c r="C57" i="19" s="1"/>
  <c r="I10" i="20"/>
  <c r="E4" i="23"/>
  <c r="E24" i="9"/>
  <c r="E26" i="9" s="1"/>
  <c r="E15" i="9"/>
  <c r="E18" i="9" s="1"/>
  <c r="E19" i="9" s="1"/>
  <c r="D18" i="9"/>
  <c r="D19" i="9" s="1"/>
  <c r="B57" i="22"/>
  <c r="B58" i="22" s="1"/>
  <c r="C58" i="22" s="1"/>
  <c r="B35" i="22"/>
  <c r="C35" i="22" s="1"/>
  <c r="H69" i="61"/>
  <c r="B71" i="61"/>
  <c r="H56" i="61"/>
  <c r="B65" i="60"/>
  <c r="B71" i="54"/>
  <c r="H69" i="54" s="1"/>
  <c r="H56" i="54"/>
  <c r="B65" i="52"/>
  <c r="B52" i="61"/>
  <c r="B51" i="60"/>
  <c r="B52" i="54"/>
  <c r="B51" i="52"/>
  <c r="B61" i="56"/>
  <c r="B48" i="53"/>
  <c r="B47" i="56"/>
  <c r="B75" i="53"/>
  <c r="B63" i="53"/>
  <c r="D28" i="60"/>
  <c r="D16" i="52"/>
  <c r="D16" i="61"/>
  <c r="D31" i="54"/>
  <c r="D31" i="61"/>
  <c r="D16" i="60"/>
  <c r="D16" i="54"/>
  <c r="B31" i="54"/>
  <c r="B16" i="61"/>
  <c r="B28" i="60"/>
  <c r="B28" i="52"/>
  <c r="B16" i="54"/>
  <c r="B16" i="52"/>
  <c r="B31" i="61"/>
  <c r="B16" i="60"/>
  <c r="C28" i="60"/>
  <c r="C16" i="54"/>
  <c r="C16" i="60"/>
  <c r="C16" i="61"/>
  <c r="C31" i="61"/>
  <c r="C28" i="52"/>
  <c r="C31" i="54"/>
  <c r="C16" i="52"/>
  <c r="G13" i="45"/>
  <c r="G25" i="45" s="1"/>
  <c r="C26" i="6"/>
  <c r="I11" i="32"/>
  <c r="D16" i="55"/>
  <c r="D18" i="55"/>
  <c r="H15" i="20"/>
  <c r="H18" i="20" s="1"/>
  <c r="H22" i="20" s="1"/>
  <c r="H14" i="26"/>
  <c r="H17" i="26" s="1"/>
  <c r="D21" i="2"/>
  <c r="H13" i="17"/>
  <c r="H16" i="17" s="1"/>
  <c r="H18" i="45"/>
  <c r="H21" i="45" s="1"/>
  <c r="H16" i="32"/>
  <c r="H19" i="32" s="1"/>
  <c r="H23" i="32" s="1"/>
  <c r="B75" i="33"/>
  <c r="B54" i="33"/>
  <c r="G23" i="32"/>
  <c r="B47" i="22"/>
  <c r="B68" i="22"/>
  <c r="G21" i="26"/>
  <c r="B10" i="32"/>
  <c r="B11" i="32" s="1"/>
  <c r="B7" i="17"/>
  <c r="B8" i="17" s="1"/>
  <c r="B8" i="26"/>
  <c r="B9" i="26" s="1"/>
  <c r="B12" i="45"/>
  <c r="B13" i="45" s="1"/>
  <c r="B9" i="20"/>
  <c r="B10" i="20" s="1"/>
  <c r="B4" i="2"/>
  <c r="B67" i="19"/>
  <c r="B46" i="19"/>
  <c r="G20" i="17"/>
  <c r="B52" i="21"/>
  <c r="B73" i="21"/>
  <c r="G22" i="20"/>
  <c r="C13" i="28" l="1"/>
  <c r="C4" i="28" s="1"/>
  <c r="D22" i="28"/>
  <c r="D12" i="2"/>
  <c r="C28" i="6"/>
  <c r="B17" i="61"/>
  <c r="B29" i="52"/>
  <c r="B29" i="60"/>
  <c r="B17" i="60"/>
  <c r="B20" i="61"/>
  <c r="B32" i="54"/>
  <c r="B33" i="54" s="1"/>
  <c r="B62" i="54" s="1"/>
  <c r="B20" i="54"/>
  <c r="B17" i="54"/>
  <c r="B32" i="61"/>
  <c r="B17" i="52"/>
  <c r="D28" i="9"/>
  <c r="E25" i="9"/>
  <c r="E28" i="9" s="1"/>
  <c r="H41" i="61"/>
  <c r="B41" i="61"/>
  <c r="B50" i="61" s="1"/>
  <c r="B47" i="60"/>
  <c r="B38" i="60"/>
  <c r="H41" i="54"/>
  <c r="B41" i="54"/>
  <c r="B50" i="54" s="1"/>
  <c r="B38" i="52"/>
  <c r="B47" i="52" s="1"/>
  <c r="B56" i="53"/>
  <c r="B57" i="53" s="1"/>
  <c r="B55" i="56"/>
  <c r="B56" i="56" s="1"/>
  <c r="C34" i="56"/>
  <c r="C43" i="56" s="1"/>
  <c r="C36" i="53"/>
  <c r="C46" i="53" s="1"/>
  <c r="B36" i="53"/>
  <c r="B46" i="53" s="1"/>
  <c r="B34" i="56"/>
  <c r="B43" i="56" s="1"/>
  <c r="B71" i="52" s="1"/>
  <c r="B11" i="59"/>
  <c r="B12" i="59" s="1"/>
  <c r="B11" i="51"/>
  <c r="B12" i="51" s="1"/>
  <c r="D28" i="52"/>
  <c r="C29" i="6"/>
  <c r="C35" i="6"/>
  <c r="C36" i="6" s="1"/>
  <c r="H10" i="45" s="1"/>
  <c r="E16" i="55"/>
  <c r="E18" i="55"/>
  <c r="B42" i="19"/>
  <c r="B26" i="19"/>
  <c r="B27" i="19" s="1"/>
  <c r="B28" i="19" s="1"/>
  <c r="B32" i="19" s="1"/>
  <c r="B35" i="19" s="1"/>
  <c r="B62" i="33"/>
  <c r="B63" i="33" s="1"/>
  <c r="C34" i="33"/>
  <c r="C35" i="33" s="1"/>
  <c r="C36" i="33" s="1"/>
  <c r="C40" i="33" s="1"/>
  <c r="C43" i="33" s="1"/>
  <c r="I16" i="32"/>
  <c r="I19" i="32" s="1"/>
  <c r="I23" i="32" s="1"/>
  <c r="I18" i="45"/>
  <c r="I21" i="45" s="1"/>
  <c r="I14" i="26"/>
  <c r="I17" i="26" s="1"/>
  <c r="I13" i="17"/>
  <c r="I16" i="17" s="1"/>
  <c r="E21" i="2"/>
  <c r="I15" i="20"/>
  <c r="I18" i="20" s="1"/>
  <c r="I22" i="20" s="1"/>
  <c r="B32" i="21"/>
  <c r="B33" i="21" s="1"/>
  <c r="B34" i="21" s="1"/>
  <c r="B38" i="21" s="1"/>
  <c r="B41" i="21" s="1"/>
  <c r="B48" i="21"/>
  <c r="B33" i="61"/>
  <c r="B62" i="61" s="1"/>
  <c r="B18" i="52"/>
  <c r="B36" i="52" s="1"/>
  <c r="B66" i="54"/>
  <c r="B30" i="52"/>
  <c r="B57" i="52" s="1"/>
  <c r="B43" i="22"/>
  <c r="B27" i="22"/>
  <c r="B28" i="22" s="1"/>
  <c r="B29" i="22" s="1"/>
  <c r="B33" i="22" s="1"/>
  <c r="B36" i="22" s="1"/>
  <c r="B50" i="33"/>
  <c r="B34" i="33"/>
  <c r="B35" i="33" s="1"/>
  <c r="B36" i="33" s="1"/>
  <c r="B40" i="33" s="1"/>
  <c r="B43" i="33" s="1"/>
  <c r="H20" i="17"/>
  <c r="H21" i="26"/>
  <c r="C4" i="2"/>
  <c r="C9" i="20"/>
  <c r="C10" i="20" s="1"/>
  <c r="C10" i="32"/>
  <c r="C11" i="32" s="1"/>
  <c r="C8" i="26"/>
  <c r="C9" i="26" s="1"/>
  <c r="C7" i="17"/>
  <c r="C8" i="17" s="1"/>
  <c r="C12" i="45"/>
  <c r="C13" i="45" s="1"/>
  <c r="B60" i="21"/>
  <c r="B61" i="21" s="1"/>
  <c r="B64" i="21" s="1"/>
  <c r="C32" i="21"/>
  <c r="C33" i="21" s="1"/>
  <c r="C34" i="21" s="1"/>
  <c r="C38" i="21" s="1"/>
  <c r="C41" i="21" s="1"/>
  <c r="D13" i="28" l="1"/>
  <c r="D4" i="28" s="1"/>
  <c r="H54" i="54"/>
  <c r="B63" i="52"/>
  <c r="B49" i="52"/>
  <c r="C73" i="52" s="1"/>
  <c r="D73" i="52" s="1"/>
  <c r="B63" i="60"/>
  <c r="E22" i="28"/>
  <c r="E12" i="2"/>
  <c r="B14" i="51"/>
  <c r="H67" i="54"/>
  <c r="C10" i="59"/>
  <c r="C10" i="51"/>
  <c r="D25" i="19"/>
  <c r="D33" i="19" s="1"/>
  <c r="D31" i="21"/>
  <c r="D39" i="21" s="1"/>
  <c r="D33" i="33"/>
  <c r="D41" i="33" s="1"/>
  <c r="D26" i="22"/>
  <c r="D34" i="22" s="1"/>
  <c r="E25" i="19"/>
  <c r="E33" i="19" s="1"/>
  <c r="E56" i="19" s="1"/>
  <c r="B61" i="19" s="1"/>
  <c r="E31" i="21"/>
  <c r="E39" i="21" s="1"/>
  <c r="E62" i="21" s="1"/>
  <c r="B67" i="21" s="1"/>
  <c r="E33" i="33"/>
  <c r="E41" i="33" s="1"/>
  <c r="E64" i="33" s="1"/>
  <c r="B69" i="33" s="1"/>
  <c r="E26" i="22"/>
  <c r="E34" i="22" s="1"/>
  <c r="E57" i="22" s="1"/>
  <c r="B62" i="22" s="1"/>
  <c r="B13" i="51"/>
  <c r="B18" i="51" s="1"/>
  <c r="C56" i="53"/>
  <c r="C55" i="56"/>
  <c r="C56" i="56" s="1"/>
  <c r="D36" i="53"/>
  <c r="D46" i="53" s="1"/>
  <c r="D34" i="56"/>
  <c r="D43" i="56" s="1"/>
  <c r="B13" i="59"/>
  <c r="B49" i="60"/>
  <c r="B14" i="59"/>
  <c r="B66" i="61"/>
  <c r="B18" i="61"/>
  <c r="H39" i="61" s="1"/>
  <c r="B18" i="60"/>
  <c r="B36" i="60" s="1"/>
  <c r="B18" i="54"/>
  <c r="H39" i="54" s="1"/>
  <c r="B30" i="60"/>
  <c r="B57" i="60" s="1"/>
  <c r="H54" i="61"/>
  <c r="H67" i="61"/>
  <c r="D25" i="6"/>
  <c r="H11" i="45"/>
  <c r="H13" i="45" s="1"/>
  <c r="H25" i="45" s="1"/>
  <c r="E19" i="55"/>
  <c r="B69" i="53"/>
  <c r="B60" i="53"/>
  <c r="J15" i="20"/>
  <c r="J18" i="20" s="1"/>
  <c r="J22" i="20" s="1"/>
  <c r="J13" i="17"/>
  <c r="J16" i="17" s="1"/>
  <c r="J18" i="45"/>
  <c r="J21" i="45" s="1"/>
  <c r="J14" i="26"/>
  <c r="J17" i="26" s="1"/>
  <c r="J16" i="32"/>
  <c r="J19" i="32" s="1"/>
  <c r="J23" i="32" s="1"/>
  <c r="I20" i="17"/>
  <c r="I21" i="26"/>
  <c r="D7" i="17"/>
  <c r="D8" i="17" s="1"/>
  <c r="D8" i="26"/>
  <c r="D9" i="26" s="1"/>
  <c r="D12" i="45"/>
  <c r="D13" i="45" s="1"/>
  <c r="D9" i="20"/>
  <c r="D10" i="20" s="1"/>
  <c r="D4" i="2"/>
  <c r="D10" i="32"/>
  <c r="D11" i="32" s="1"/>
  <c r="B66" i="33"/>
  <c r="B55" i="22"/>
  <c r="B56" i="22" s="1"/>
  <c r="B59" i="22" s="1"/>
  <c r="C27" i="22"/>
  <c r="C28" i="22" s="1"/>
  <c r="C29" i="22" s="1"/>
  <c r="C33" i="22" s="1"/>
  <c r="C36" i="22" s="1"/>
  <c r="B54" i="19"/>
  <c r="B55" i="19" s="1"/>
  <c r="B58" i="19" s="1"/>
  <c r="C26" i="19"/>
  <c r="C27" i="19" s="1"/>
  <c r="C28" i="19" s="1"/>
  <c r="C32" i="19" s="1"/>
  <c r="C35" i="19" s="1"/>
  <c r="D32" i="21"/>
  <c r="C60" i="21"/>
  <c r="C61" i="21" s="1"/>
  <c r="C64" i="21" s="1"/>
  <c r="C57" i="53"/>
  <c r="D34" i="33"/>
  <c r="C62" i="33"/>
  <c r="C63" i="33" s="1"/>
  <c r="E13" i="28" l="1"/>
  <c r="E4" i="28" s="1"/>
  <c r="B18" i="59"/>
  <c r="D33" i="21"/>
  <c r="D34" i="21" s="1"/>
  <c r="D38" i="21" s="1"/>
  <c r="D41" i="21" s="1"/>
  <c r="B46" i="21" s="1"/>
  <c r="D35" i="33"/>
  <c r="D36" i="33" s="1"/>
  <c r="D40" i="33" s="1"/>
  <c r="D57" i="22"/>
  <c r="D58" i="22" s="1"/>
  <c r="B63" i="22" s="1"/>
  <c r="D35" i="22"/>
  <c r="D62" i="21"/>
  <c r="D63" i="21" s="1"/>
  <c r="B68" i="21" s="1"/>
  <c r="D40" i="21"/>
  <c r="D56" i="19"/>
  <c r="D57" i="19" s="1"/>
  <c r="B62" i="19" s="1"/>
  <c r="D34" i="19"/>
  <c r="D64" i="33"/>
  <c r="D65" i="33" s="1"/>
  <c r="B70" i="33" s="1"/>
  <c r="D42" i="33"/>
  <c r="D43" i="33" s="1"/>
  <c r="B48" i="33" s="1"/>
  <c r="B67" i="61"/>
  <c r="B67" i="54"/>
  <c r="D56" i="53"/>
  <c r="D57" i="53" s="1"/>
  <c r="D55" i="56"/>
  <c r="E36" i="53"/>
  <c r="E46" i="53" s="1"/>
  <c r="E34" i="56"/>
  <c r="E43" i="56" s="1"/>
  <c r="B64" i="61"/>
  <c r="B59" i="52"/>
  <c r="C38" i="52"/>
  <c r="C47" i="52" s="1"/>
  <c r="I41" i="61"/>
  <c r="C41" i="61"/>
  <c r="C50" i="61" s="1"/>
  <c r="B59" i="60"/>
  <c r="C47" i="60"/>
  <c r="C38" i="60"/>
  <c r="B64" i="54"/>
  <c r="I41" i="54"/>
  <c r="C41" i="54"/>
  <c r="C50" i="54" s="1"/>
  <c r="B21" i="54"/>
  <c r="B39" i="54" s="1"/>
  <c r="B21" i="61"/>
  <c r="B39" i="61" s="1"/>
  <c r="D26" i="6"/>
  <c r="E71" i="53"/>
  <c r="E72" i="53" s="1"/>
  <c r="E74" i="53" s="1"/>
  <c r="D19" i="55"/>
  <c r="C66" i="33"/>
  <c r="B19" i="51"/>
  <c r="B21" i="51"/>
  <c r="C60" i="53"/>
  <c r="C69" i="53"/>
  <c r="C11" i="51"/>
  <c r="B19" i="59"/>
  <c r="B21" i="59"/>
  <c r="D27" i="22"/>
  <c r="D28" i="22" s="1"/>
  <c r="D29" i="22" s="1"/>
  <c r="D33" i="22" s="1"/>
  <c r="D36" i="22" s="1"/>
  <c r="B41" i="22" s="1"/>
  <c r="C55" i="22"/>
  <c r="C56" i="22" s="1"/>
  <c r="C59" i="22" s="1"/>
  <c r="C54" i="19"/>
  <c r="C55" i="19" s="1"/>
  <c r="C58" i="19" s="1"/>
  <c r="D26" i="19"/>
  <c r="D27" i="19" s="1"/>
  <c r="D28" i="19" s="1"/>
  <c r="D32" i="19" s="1"/>
  <c r="D35" i="19" s="1"/>
  <c r="B40" i="19" s="1"/>
  <c r="D62" i="33"/>
  <c r="D63" i="33" s="1"/>
  <c r="D66" i="33" s="1"/>
  <c r="E34" i="33"/>
  <c r="E35" i="33" s="1"/>
  <c r="E36" i="33" s="1"/>
  <c r="E40" i="33" s="1"/>
  <c r="B46" i="33" s="1"/>
  <c r="B47" i="33" s="1"/>
  <c r="D60" i="21"/>
  <c r="D61" i="21" s="1"/>
  <c r="E32" i="21"/>
  <c r="E33" i="21" s="1"/>
  <c r="E34" i="21" s="1"/>
  <c r="E38" i="21" s="1"/>
  <c r="B44" i="21" s="1"/>
  <c r="E8" i="26"/>
  <c r="E9" i="26" s="1"/>
  <c r="E9" i="20"/>
  <c r="E10" i="20" s="1"/>
  <c r="E12" i="45"/>
  <c r="E13" i="45" s="1"/>
  <c r="E10" i="32"/>
  <c r="E11" i="32" s="1"/>
  <c r="E4" i="2"/>
  <c r="E7" i="17"/>
  <c r="E8" i="17" s="1"/>
  <c r="D56" i="56"/>
  <c r="C11" i="59"/>
  <c r="C14" i="59" s="1"/>
  <c r="J21" i="26"/>
  <c r="J20" i="17"/>
  <c r="B45" i="21" l="1"/>
  <c r="B47" i="21" s="1"/>
  <c r="B49" i="21" s="1"/>
  <c r="B51" i="21" s="1"/>
  <c r="B53" i="21" s="1"/>
  <c r="D64" i="21"/>
  <c r="B69" i="21" s="1"/>
  <c r="B70" i="21" s="1"/>
  <c r="B72" i="21" s="1"/>
  <c r="B74" i="21" s="1"/>
  <c r="B49" i="33"/>
  <c r="D28" i="6"/>
  <c r="C20" i="61"/>
  <c r="C20" i="54"/>
  <c r="C17" i="54"/>
  <c r="C18" i="54" s="1"/>
  <c r="C32" i="54"/>
  <c r="C17" i="52"/>
  <c r="C18" i="52" s="1"/>
  <c r="C36" i="52" s="1"/>
  <c r="C17" i="61"/>
  <c r="C18" i="61" s="1"/>
  <c r="C17" i="60"/>
  <c r="C18" i="60" s="1"/>
  <c r="C36" i="60" s="1"/>
  <c r="C32" i="61"/>
  <c r="C29" i="60"/>
  <c r="C29" i="52"/>
  <c r="C30" i="52" s="1"/>
  <c r="C57" i="52" s="1"/>
  <c r="C14" i="51"/>
  <c r="I67" i="54"/>
  <c r="D29" i="6"/>
  <c r="D35" i="6"/>
  <c r="D36" i="6" s="1"/>
  <c r="I10" i="45" s="1"/>
  <c r="H42" i="54"/>
  <c r="H43" i="54" s="1"/>
  <c r="H47" i="54" s="1"/>
  <c r="H50" i="54"/>
  <c r="C71" i="52"/>
  <c r="D71" i="52" s="1"/>
  <c r="H50" i="61"/>
  <c r="H42" i="61"/>
  <c r="H43" i="61" s="1"/>
  <c r="H47" i="61" s="1"/>
  <c r="C49" i="33"/>
  <c r="B71" i="33"/>
  <c r="B72" i="33" s="1"/>
  <c r="B74" i="33" s="1"/>
  <c r="B76" i="33" s="1"/>
  <c r="D71" i="53"/>
  <c r="C19" i="55"/>
  <c r="B60" i="60"/>
  <c r="B65" i="54"/>
  <c r="B65" i="61"/>
  <c r="B60" i="52"/>
  <c r="E26" i="19"/>
  <c r="E27" i="19" s="1"/>
  <c r="E28" i="19" s="1"/>
  <c r="E32" i="19" s="1"/>
  <c r="B38" i="19" s="1"/>
  <c r="B39" i="19" s="1"/>
  <c r="B41" i="19" s="1"/>
  <c r="B43" i="19" s="1"/>
  <c r="B45" i="19" s="1"/>
  <c r="B47" i="19" s="1"/>
  <c r="D54" i="19"/>
  <c r="D55" i="19" s="1"/>
  <c r="D58" i="19" s="1"/>
  <c r="B63" i="19" s="1"/>
  <c r="B64" i="19" s="1"/>
  <c r="B66" i="19" s="1"/>
  <c r="B68" i="19" s="1"/>
  <c r="E27" i="22"/>
  <c r="E28" i="22" s="1"/>
  <c r="E29" i="22" s="1"/>
  <c r="E33" i="22" s="1"/>
  <c r="B39" i="22" s="1"/>
  <c r="B40" i="22" s="1"/>
  <c r="B42" i="22" s="1"/>
  <c r="D55" i="22"/>
  <c r="D56" i="22" s="1"/>
  <c r="D59" i="22" s="1"/>
  <c r="B64" i="22" s="1"/>
  <c r="B65" i="22" s="1"/>
  <c r="B67" i="22" s="1"/>
  <c r="B69" i="22" s="1"/>
  <c r="D69" i="53"/>
  <c r="D70" i="53" s="1"/>
  <c r="D60" i="53"/>
  <c r="B51" i="33"/>
  <c r="B53" i="33" s="1"/>
  <c r="B55" i="33" s="1"/>
  <c r="I67" i="61"/>
  <c r="C63" i="60"/>
  <c r="C12" i="59"/>
  <c r="C49" i="60"/>
  <c r="I54" i="61"/>
  <c r="C13" i="59"/>
  <c r="C66" i="61"/>
  <c r="C66" i="54"/>
  <c r="C33" i="54"/>
  <c r="C62" i="54" s="1"/>
  <c r="C33" i="61"/>
  <c r="C62" i="61" s="1"/>
  <c r="C30" i="60"/>
  <c r="C57" i="60" s="1"/>
  <c r="I54" i="54"/>
  <c r="C63" i="52"/>
  <c r="C49" i="52"/>
  <c r="C13" i="51"/>
  <c r="C12" i="51"/>
  <c r="C47" i="21" l="1"/>
  <c r="D10" i="59"/>
  <c r="D10" i="51"/>
  <c r="D72" i="53"/>
  <c r="D74" i="53" s="1"/>
  <c r="B68" i="61"/>
  <c r="H62" i="61"/>
  <c r="B68" i="54"/>
  <c r="H62" i="54"/>
  <c r="I11" i="45"/>
  <c r="E25" i="6"/>
  <c r="I13" i="45"/>
  <c r="I25" i="45" s="1"/>
  <c r="B19" i="55"/>
  <c r="B71" i="53" s="1"/>
  <c r="C71" i="53"/>
  <c r="C18" i="51"/>
  <c r="C19" i="51" s="1"/>
  <c r="C21" i="54"/>
  <c r="C39" i="54" s="1"/>
  <c r="I39" i="54"/>
  <c r="B44" i="22"/>
  <c r="B46" i="22" s="1"/>
  <c r="B48" i="22" s="1"/>
  <c r="I50" i="54"/>
  <c r="I42" i="54"/>
  <c r="C21" i="61"/>
  <c r="C39" i="61" s="1"/>
  <c r="I39" i="61"/>
  <c r="I42" i="61"/>
  <c r="I50" i="61"/>
  <c r="C18" i="59"/>
  <c r="C70" i="53"/>
  <c r="C67" i="61" l="1"/>
  <c r="C67" i="54"/>
  <c r="C64" i="61"/>
  <c r="J41" i="61"/>
  <c r="D41" i="61"/>
  <c r="D50" i="61" s="1"/>
  <c r="D47" i="60"/>
  <c r="D38" i="60"/>
  <c r="J41" i="54"/>
  <c r="D41" i="54"/>
  <c r="D50" i="54" s="1"/>
  <c r="C59" i="52"/>
  <c r="C60" i="52" s="1"/>
  <c r="C59" i="60"/>
  <c r="C60" i="60" s="1"/>
  <c r="C64" i="54"/>
  <c r="C65" i="54" s="1"/>
  <c r="I62" i="54" s="1"/>
  <c r="D38" i="52"/>
  <c r="D47" i="52" s="1"/>
  <c r="E26" i="6"/>
  <c r="C21" i="51"/>
  <c r="D11" i="51"/>
  <c r="C72" i="53"/>
  <c r="C74" i="53" s="1"/>
  <c r="B70" i="53"/>
  <c r="B72" i="53" s="1"/>
  <c r="B74" i="53" s="1"/>
  <c r="B76" i="53" s="1"/>
  <c r="C19" i="59"/>
  <c r="C21" i="59"/>
  <c r="C65" i="61"/>
  <c r="I62" i="61" s="1"/>
  <c r="D11" i="59"/>
  <c r="D14" i="59" s="1"/>
  <c r="I43" i="61"/>
  <c r="I47" i="61" s="1"/>
  <c r="I43" i="54"/>
  <c r="I47" i="54" s="1"/>
  <c r="E28" i="6" l="1"/>
  <c r="E29" i="6" s="1"/>
  <c r="D20" i="61"/>
  <c r="D20" i="54"/>
  <c r="D17" i="60"/>
  <c r="D17" i="52"/>
  <c r="D29" i="60"/>
  <c r="D29" i="52"/>
  <c r="D30" i="52" s="1"/>
  <c r="D57" i="52" s="1"/>
  <c r="D32" i="61"/>
  <c r="D33" i="61" s="1"/>
  <c r="D62" i="61" s="1"/>
  <c r="D17" i="61"/>
  <c r="D17" i="54"/>
  <c r="D18" i="54" s="1"/>
  <c r="D32" i="54"/>
  <c r="D33" i="54" s="1"/>
  <c r="D62" i="54" s="1"/>
  <c r="D14" i="51"/>
  <c r="J67" i="54"/>
  <c r="E35" i="6"/>
  <c r="E36" i="6" s="1"/>
  <c r="J10" i="45" s="1"/>
  <c r="J50" i="61"/>
  <c r="J42" i="61"/>
  <c r="J50" i="54"/>
  <c r="J42" i="54"/>
  <c r="D66" i="61"/>
  <c r="D66" i="54"/>
  <c r="D18" i="52"/>
  <c r="D36" i="52" s="1"/>
  <c r="D30" i="60"/>
  <c r="D57" i="60" s="1"/>
  <c r="D18" i="61"/>
  <c r="D18" i="60"/>
  <c r="D36" i="60" s="1"/>
  <c r="C68" i="54"/>
  <c r="J67" i="61"/>
  <c r="J54" i="61"/>
  <c r="D12" i="59"/>
  <c r="D13" i="59"/>
  <c r="D63" i="60"/>
  <c r="D49" i="60"/>
  <c r="D12" i="51"/>
  <c r="J54" i="54"/>
  <c r="D13" i="51"/>
  <c r="D63" i="52"/>
  <c r="D49" i="52"/>
  <c r="C68" i="61"/>
  <c r="J11" i="45" l="1"/>
  <c r="D67" i="54" s="1"/>
  <c r="E10" i="51"/>
  <c r="E10" i="59"/>
  <c r="D18" i="51"/>
  <c r="D21" i="51" s="1"/>
  <c r="D18" i="59"/>
  <c r="D19" i="59" s="1"/>
  <c r="D21" i="54"/>
  <c r="D39" i="54" s="1"/>
  <c r="J39" i="54"/>
  <c r="J43" i="54" s="1"/>
  <c r="J47" i="54" s="1"/>
  <c r="D21" i="61"/>
  <c r="D39" i="61" s="1"/>
  <c r="J39" i="61"/>
  <c r="J43" i="61" s="1"/>
  <c r="J47" i="61" s="1"/>
  <c r="E11" i="59"/>
  <c r="E11" i="51"/>
  <c r="J13" i="45" l="1"/>
  <c r="J25" i="45" s="1"/>
  <c r="E47" i="60" s="1"/>
  <c r="D67" i="61"/>
  <c r="E49" i="52"/>
  <c r="K67" i="54"/>
  <c r="E49" i="60"/>
  <c r="E67" i="61"/>
  <c r="D21" i="59"/>
  <c r="D19" i="51"/>
  <c r="E12" i="51"/>
  <c r="K54" i="54"/>
  <c r="E63" i="52"/>
  <c r="E13" i="51"/>
  <c r="K54" i="61"/>
  <c r="E13" i="59"/>
  <c r="K67" i="61"/>
  <c r="E63" i="60"/>
  <c r="E12" i="59"/>
  <c r="E14" i="51"/>
  <c r="E14" i="59"/>
  <c r="E64" i="61" l="1"/>
  <c r="E65" i="61" s="1"/>
  <c r="K62" i="61" s="1"/>
  <c r="K64" i="61" s="1"/>
  <c r="K41" i="54"/>
  <c r="K42" i="54" s="1"/>
  <c r="K43" i="54" s="1"/>
  <c r="K47" i="54" s="1"/>
  <c r="K49" i="54" s="1"/>
  <c r="J49" i="54" s="1"/>
  <c r="J51" i="54" s="1"/>
  <c r="E38" i="60"/>
  <c r="E59" i="60"/>
  <c r="E60" i="60" s="1"/>
  <c r="E41" i="61"/>
  <c r="E50" i="61" s="1"/>
  <c r="K41" i="61"/>
  <c r="D64" i="61"/>
  <c r="D65" i="61" s="1"/>
  <c r="J62" i="61" s="1"/>
  <c r="E38" i="52"/>
  <c r="E47" i="52" s="1"/>
  <c r="D64" i="54"/>
  <c r="D65" i="54" s="1"/>
  <c r="D59" i="60"/>
  <c r="D60" i="60" s="1"/>
  <c r="D59" i="52"/>
  <c r="D60" i="52" s="1"/>
  <c r="E41" i="54"/>
  <c r="E50" i="54" s="1"/>
  <c r="E18" i="59"/>
  <c r="E18" i="51"/>
  <c r="K50" i="54" l="1"/>
  <c r="K51" i="54" s="1"/>
  <c r="E68" i="61"/>
  <c r="I49" i="54"/>
  <c r="H49" i="54" s="1"/>
  <c r="H51" i="54" s="1"/>
  <c r="J64" i="61"/>
  <c r="I64" i="61" s="1"/>
  <c r="H64" i="61" s="1"/>
  <c r="J62" i="54"/>
  <c r="J64" i="54" s="1"/>
  <c r="I64" i="54" s="1"/>
  <c r="H64" i="54" s="1"/>
  <c r="D68" i="54"/>
  <c r="K50" i="61"/>
  <c r="K42" i="61"/>
  <c r="K43" i="61" s="1"/>
  <c r="K47" i="61" s="1"/>
  <c r="K49" i="61" s="1"/>
  <c r="D68" i="61"/>
  <c r="E19" i="51"/>
  <c r="E21" i="51"/>
  <c r="E22" i="51" s="1"/>
  <c r="K65" i="54" s="1"/>
  <c r="K66" i="54" s="1"/>
  <c r="K68" i="54" s="1"/>
  <c r="I51" i="54"/>
  <c r="E19" i="59"/>
  <c r="E21" i="59"/>
  <c r="E22" i="59" s="1"/>
  <c r="K65" i="61" s="1"/>
  <c r="J49" i="61" l="1"/>
  <c r="K51" i="61"/>
  <c r="K66" i="61"/>
  <c r="K68" i="61" s="1"/>
  <c r="K52" i="54"/>
  <c r="K53" i="54" s="1"/>
  <c r="K55" i="54" s="1"/>
  <c r="D22" i="51"/>
  <c r="J65" i="54" s="1"/>
  <c r="J66" i="54" s="1"/>
  <c r="J68" i="54" s="1"/>
  <c r="K52" i="61"/>
  <c r="K53" i="61" s="1"/>
  <c r="K55" i="61" s="1"/>
  <c r="D22" i="59"/>
  <c r="J65" i="61" s="1"/>
  <c r="J51" i="61" l="1"/>
  <c r="I49" i="61"/>
  <c r="J66" i="61"/>
  <c r="J68" i="61" s="1"/>
  <c r="J52" i="61"/>
  <c r="C22" i="59"/>
  <c r="I65" i="61" s="1"/>
  <c r="J52" i="54"/>
  <c r="J53" i="54" s="1"/>
  <c r="J55" i="54" s="1"/>
  <c r="C22" i="51"/>
  <c r="I65" i="54" s="1"/>
  <c r="I66" i="54" s="1"/>
  <c r="I68" i="54" s="1"/>
  <c r="J53" i="61" l="1"/>
  <c r="J55" i="61" s="1"/>
  <c r="I51" i="61"/>
  <c r="H49" i="61"/>
  <c r="H51" i="61" s="1"/>
  <c r="I52" i="61"/>
  <c r="I53" i="61" s="1"/>
  <c r="I55" i="61" s="1"/>
  <c r="B22" i="59"/>
  <c r="H65" i="61" s="1"/>
  <c r="H66" i="61" s="1"/>
  <c r="H68" i="61" s="1"/>
  <c r="H70" i="61" s="1"/>
  <c r="I66" i="61"/>
  <c r="I68" i="61" s="1"/>
  <c r="I52" i="54"/>
  <c r="I53" i="54" s="1"/>
  <c r="I55" i="54" s="1"/>
  <c r="B22" i="51"/>
  <c r="H65" i="54" s="1"/>
  <c r="H66" i="54" s="1"/>
  <c r="H68" i="54" s="1"/>
  <c r="H70" i="54" s="1"/>
  <c r="H52" i="54" l="1"/>
  <c r="H52" i="61"/>
  <c r="H53" i="61" s="1"/>
  <c r="H55" i="61" s="1"/>
  <c r="H57" i="61" s="1"/>
  <c r="H53" i="54" l="1"/>
  <c r="H55" i="54" s="1"/>
  <c r="H57" i="54" l="1"/>
  <c r="B35" i="53" l="1"/>
  <c r="C35" i="53"/>
  <c r="D35" i="53"/>
  <c r="E35" i="53"/>
  <c r="B37" i="53"/>
  <c r="C37" i="53"/>
  <c r="D37" i="53"/>
  <c r="E37" i="53"/>
  <c r="B38" i="53"/>
  <c r="C38" i="53"/>
  <c r="D38" i="53"/>
  <c r="E38" i="53"/>
  <c r="B42" i="53"/>
  <c r="C42" i="53"/>
  <c r="D42" i="53"/>
  <c r="E42" i="53"/>
  <c r="B43" i="53"/>
  <c r="C43" i="53"/>
  <c r="D43" i="53"/>
  <c r="E43" i="53"/>
  <c r="B45" i="53"/>
  <c r="C45" i="53"/>
  <c r="D45" i="53"/>
  <c r="E45" i="53"/>
  <c r="B47" i="53"/>
  <c r="C47" i="53"/>
  <c r="D47" i="53"/>
  <c r="E47" i="53"/>
  <c r="B49" i="53"/>
  <c r="B61" i="53"/>
  <c r="C61" i="53"/>
  <c r="D61" i="53"/>
  <c r="E61" i="53"/>
  <c r="B62" i="53"/>
  <c r="C62" i="53"/>
  <c r="D62" i="53"/>
  <c r="E62" i="53"/>
  <c r="B64" i="53"/>
  <c r="B37" i="52"/>
  <c r="C37" i="52"/>
  <c r="D37" i="52"/>
  <c r="E37" i="52"/>
  <c r="B39" i="52"/>
  <c r="C39" i="52"/>
  <c r="D39" i="52"/>
  <c r="E39" i="52"/>
  <c r="B40" i="52"/>
  <c r="C40" i="52"/>
  <c r="D40" i="52"/>
  <c r="E40" i="52"/>
  <c r="B44" i="52"/>
  <c r="C44" i="52"/>
  <c r="D44" i="52"/>
  <c r="E44" i="52"/>
  <c r="B45" i="52"/>
  <c r="C45" i="52"/>
  <c r="D45" i="52"/>
  <c r="E45" i="52"/>
  <c r="B46" i="52"/>
  <c r="C46" i="52"/>
  <c r="D46" i="52"/>
  <c r="E46" i="52"/>
  <c r="B48" i="52"/>
  <c r="C48" i="52"/>
  <c r="D48" i="52"/>
  <c r="E48" i="52"/>
  <c r="B50" i="52"/>
  <c r="C50" i="52"/>
  <c r="D50" i="52"/>
  <c r="E50" i="52"/>
  <c r="B52" i="52"/>
  <c r="B61" i="52"/>
  <c r="C61" i="52"/>
  <c r="D61" i="52"/>
  <c r="E61" i="52"/>
  <c r="B62" i="52"/>
  <c r="C62" i="52"/>
  <c r="D62" i="52"/>
  <c r="E62" i="52"/>
  <c r="B64" i="52"/>
  <c r="C64" i="52"/>
  <c r="D64" i="52"/>
  <c r="E64" i="52"/>
  <c r="B66" i="52"/>
  <c r="B70" i="52"/>
  <c r="C70" i="52"/>
  <c r="D70" i="52"/>
  <c r="B72" i="52"/>
  <c r="C72" i="52"/>
  <c r="D72" i="52"/>
  <c r="B74" i="52"/>
  <c r="C74" i="52"/>
  <c r="D74" i="52"/>
  <c r="B75" i="52"/>
  <c r="C75" i="52"/>
  <c r="D75" i="52"/>
  <c r="B33" i="56"/>
  <c r="C33" i="56"/>
  <c r="D33" i="56"/>
  <c r="E33" i="56"/>
  <c r="B35" i="56"/>
  <c r="C35" i="56"/>
  <c r="D35" i="56"/>
  <c r="E35" i="56"/>
  <c r="B36" i="56"/>
  <c r="C36" i="56"/>
  <c r="D36" i="56"/>
  <c r="E36" i="56"/>
  <c r="B40" i="56"/>
  <c r="C40" i="56"/>
  <c r="D40" i="56"/>
  <c r="E40" i="56"/>
  <c r="B41" i="56"/>
  <c r="C41" i="56"/>
  <c r="D41" i="56"/>
  <c r="E41" i="56"/>
  <c r="B42" i="56"/>
  <c r="C42" i="56"/>
  <c r="D42" i="56"/>
  <c r="E42" i="56"/>
  <c r="B44" i="56"/>
  <c r="C44" i="56"/>
  <c r="D44" i="56"/>
  <c r="E44" i="56"/>
  <c r="B46" i="56"/>
  <c r="C46" i="56"/>
  <c r="D46" i="56"/>
  <c r="E46" i="56"/>
  <c r="B48" i="56"/>
  <c r="B57" i="56"/>
  <c r="C57" i="56"/>
  <c r="D57" i="56"/>
  <c r="E57" i="56"/>
  <c r="B58" i="56"/>
  <c r="C58" i="56"/>
  <c r="D58" i="56"/>
  <c r="E58" i="56"/>
  <c r="B60" i="56"/>
  <c r="C60" i="56"/>
  <c r="D60" i="56"/>
  <c r="E60" i="56"/>
  <c r="B62" i="56"/>
  <c r="B24" i="51"/>
  <c r="C24" i="51"/>
  <c r="D24" i="51"/>
  <c r="E24" i="51"/>
  <c r="B25" i="51"/>
  <c r="C25" i="51"/>
  <c r="D25" i="51"/>
  <c r="E25" i="51"/>
  <c r="B27" i="51"/>
  <c r="C27" i="51"/>
  <c r="D27" i="51"/>
  <c r="E27" i="51"/>
  <c r="B28" i="51"/>
  <c r="C28" i="51"/>
  <c r="D28" i="51"/>
  <c r="E28" i="51"/>
  <c r="B29" i="51"/>
  <c r="C29" i="51"/>
  <c r="D29" i="51"/>
  <c r="E29" i="51"/>
  <c r="B31" i="51"/>
  <c r="C31" i="51"/>
  <c r="D31" i="51"/>
  <c r="E31" i="51"/>
  <c r="B21" i="55"/>
  <c r="C21" i="55"/>
  <c r="D21" i="55"/>
  <c r="E21" i="55"/>
  <c r="B22" i="55"/>
  <c r="C22" i="55"/>
  <c r="D22" i="55"/>
  <c r="E22" i="55"/>
  <c r="B24" i="55"/>
  <c r="C24" i="55"/>
  <c r="D24" i="55"/>
  <c r="E24" i="55"/>
  <c r="B25" i="55"/>
  <c r="C25" i="55"/>
  <c r="D25" i="55"/>
  <c r="E25" i="55"/>
  <c r="B26" i="55"/>
  <c r="C26" i="55"/>
  <c r="D26" i="55"/>
  <c r="E26" i="55"/>
  <c r="B28" i="55"/>
  <c r="C28" i="55"/>
  <c r="D28" i="55"/>
  <c r="E28" i="55"/>
  <c r="B40" i="54"/>
  <c r="C40" i="54"/>
  <c r="D40" i="54"/>
  <c r="E40" i="54"/>
  <c r="B42" i="54"/>
  <c r="C42" i="54"/>
  <c r="D42" i="54"/>
  <c r="E42" i="54"/>
  <c r="B43" i="54"/>
  <c r="C43" i="54"/>
  <c r="D43" i="54"/>
  <c r="E43" i="54"/>
  <c r="B47" i="54"/>
  <c r="C47" i="54"/>
  <c r="D47" i="54"/>
  <c r="E47" i="54"/>
  <c r="B48" i="54"/>
  <c r="C48" i="54"/>
  <c r="D48" i="54"/>
  <c r="E48" i="54"/>
  <c r="B49" i="54"/>
  <c r="C49" i="54"/>
  <c r="D49" i="54"/>
  <c r="E49" i="54"/>
  <c r="B51" i="54"/>
  <c r="C51" i="54"/>
  <c r="D51" i="54"/>
  <c r="E51" i="54"/>
  <c r="B53" i="54"/>
  <c r="B69" i="54"/>
  <c r="C69" i="54"/>
  <c r="D69" i="54"/>
  <c r="E69" i="54"/>
  <c r="B70" i="54"/>
  <c r="C70" i="54"/>
  <c r="D70" i="54"/>
  <c r="E70" i="54"/>
  <c r="B72" i="54"/>
  <c r="B37" i="60"/>
  <c r="C37" i="60"/>
  <c r="D37" i="60"/>
  <c r="E37" i="60"/>
  <c r="B39" i="60"/>
  <c r="C39" i="60"/>
  <c r="D39" i="60"/>
  <c r="E39" i="60"/>
  <c r="B40" i="60"/>
  <c r="C40" i="60"/>
  <c r="D40" i="60"/>
  <c r="E40" i="60"/>
  <c r="B44" i="60"/>
  <c r="C44" i="60"/>
  <c r="D44" i="60"/>
  <c r="E44" i="60"/>
  <c r="B45" i="60"/>
  <c r="C45" i="60"/>
  <c r="D45" i="60"/>
  <c r="E45" i="60"/>
  <c r="B46" i="60"/>
  <c r="C46" i="60"/>
  <c r="D46" i="60"/>
  <c r="E46" i="60"/>
  <c r="B48" i="60"/>
  <c r="C48" i="60"/>
  <c r="D48" i="60"/>
  <c r="E48" i="60"/>
  <c r="B50" i="60"/>
  <c r="C50" i="60"/>
  <c r="D50" i="60"/>
  <c r="E50" i="60"/>
  <c r="B52" i="60"/>
  <c r="B61" i="60"/>
  <c r="C61" i="60"/>
  <c r="D61" i="60"/>
  <c r="E61" i="60"/>
  <c r="B62" i="60"/>
  <c r="C62" i="60"/>
  <c r="D62" i="60"/>
  <c r="E62" i="60"/>
  <c r="B64" i="60"/>
  <c r="C64" i="60"/>
  <c r="D64" i="60"/>
  <c r="E64" i="60"/>
  <c r="B66" i="60"/>
  <c r="B40" i="61"/>
  <c r="C40" i="61"/>
  <c r="D40" i="61"/>
  <c r="E40" i="61"/>
  <c r="B42" i="61"/>
  <c r="C42" i="61"/>
  <c r="D42" i="61"/>
  <c r="E42" i="61"/>
  <c r="B43" i="61"/>
  <c r="C43" i="61"/>
  <c r="D43" i="61"/>
  <c r="E43" i="61"/>
  <c r="B47" i="61"/>
  <c r="C47" i="61"/>
  <c r="D47" i="61"/>
  <c r="E47" i="61"/>
  <c r="B48" i="61"/>
  <c r="C48" i="61"/>
  <c r="D48" i="61"/>
  <c r="E48" i="61"/>
  <c r="B49" i="61"/>
  <c r="C49" i="61"/>
  <c r="D49" i="61"/>
  <c r="E49" i="61"/>
  <c r="B51" i="61"/>
  <c r="C51" i="61"/>
  <c r="D51" i="61"/>
  <c r="E51" i="61"/>
  <c r="B53" i="61"/>
  <c r="B69" i="61"/>
  <c r="C69" i="61"/>
  <c r="D69" i="61"/>
  <c r="E69" i="61"/>
  <c r="B70" i="61"/>
  <c r="C70" i="61"/>
  <c r="D70" i="61"/>
  <c r="E70" i="61"/>
  <c r="B72" i="61"/>
  <c r="B24" i="59"/>
  <c r="C24" i="59"/>
  <c r="D24" i="59"/>
  <c r="E24" i="59"/>
  <c r="B25" i="59"/>
  <c r="C25" i="59"/>
  <c r="D25" i="59"/>
  <c r="E25" i="59"/>
  <c r="B27" i="59"/>
  <c r="C27" i="59"/>
  <c r="D27" i="59"/>
  <c r="E27" i="59"/>
  <c r="B28" i="59"/>
  <c r="C28" i="59"/>
  <c r="D28" i="59"/>
  <c r="E28" i="59"/>
  <c r="B29" i="59"/>
  <c r="C29" i="59"/>
  <c r="D29" i="59"/>
  <c r="E29" i="59"/>
  <c r="B31" i="59"/>
  <c r="C31" i="59"/>
  <c r="D31" i="59"/>
  <c r="E31" i="5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Miloš Mařík</author>
  </authors>
  <commentList>
    <comment ref="B17" authorId="0" shapeId="0" xr:uid="{00000000-0006-0000-1C00-000001000000}">
      <text>
        <r>
          <rPr>
            <b/>
            <sz val="9"/>
            <color indexed="81"/>
            <rFont val="Tahoma"/>
            <family val="2"/>
            <charset val="238"/>
          </rPr>
          <t>Miloš Mařík:</t>
        </r>
        <r>
          <rPr>
            <sz val="9"/>
            <color indexed="81"/>
            <rFont val="Tahoma"/>
            <family val="2"/>
            <charset val="238"/>
          </rPr>
          <t xml:space="preserve">
Daň je zvýšena o úsporu z úroků z leasingu, která je započtena až v equity</t>
        </r>
      </text>
    </comment>
    <comment ref="B29" authorId="0" shapeId="0" xr:uid="{00000000-0006-0000-1C00-000002000000}">
      <text>
        <r>
          <rPr>
            <b/>
            <sz val="9"/>
            <color indexed="81"/>
            <rFont val="Tahoma"/>
            <family val="2"/>
            <charset val="238"/>
          </rPr>
          <t>Miloš Mařík:</t>
        </r>
        <r>
          <rPr>
            <sz val="9"/>
            <color indexed="81"/>
            <rFont val="Tahoma"/>
            <family val="2"/>
            <charset val="238"/>
          </rPr>
          <t xml:space="preserve">
Daň je zvýšena o úsporu z úroků z leasingu, která je započtena až v equity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Miloš Mařík</author>
  </authors>
  <commentList>
    <comment ref="B17" authorId="0" shapeId="0" xr:uid="{00000000-0006-0000-1D00-000001000000}">
      <text>
        <r>
          <rPr>
            <b/>
            <sz val="9"/>
            <color indexed="81"/>
            <rFont val="Tahoma"/>
            <family val="2"/>
            <charset val="238"/>
          </rPr>
          <t>Miloš Mařík:</t>
        </r>
        <r>
          <rPr>
            <sz val="9"/>
            <color indexed="81"/>
            <rFont val="Tahoma"/>
            <family val="2"/>
            <charset val="238"/>
          </rPr>
          <t xml:space="preserve">
Daň je zvýšena o úsporu z úroků z leasingu, která je započtena až níže</t>
        </r>
      </text>
    </comment>
  </commentList>
</comments>
</file>

<file path=xl/sharedStrings.xml><?xml version="1.0" encoding="utf-8"?>
<sst xmlns="http://schemas.openxmlformats.org/spreadsheetml/2006/main" count="1195" uniqueCount="405">
  <si>
    <t>®</t>
  </si>
  <si>
    <t>Finanční investice</t>
  </si>
  <si>
    <t>Krátkod. fin. majetek</t>
  </si>
  <si>
    <t>Dluhopisy</t>
  </si>
  <si>
    <t>Bankovní úvěr</t>
  </si>
  <si>
    <t>AKTIVA</t>
  </si>
  <si>
    <t>AKTIVA CELKEM</t>
  </si>
  <si>
    <t>B.II Dlouhodobý hmotný majetek</t>
  </si>
  <si>
    <t>B.III Dlouhodobý finanční majetek</t>
  </si>
  <si>
    <t>C. OBĚŽNÁ AKTIVA</t>
  </si>
  <si>
    <t>C.I   Zásoby</t>
  </si>
  <si>
    <t>PASIVA</t>
  </si>
  <si>
    <t>PASIVA CELKEM</t>
  </si>
  <si>
    <t>A. VLASTNÍ KAPITÁL</t>
  </si>
  <si>
    <t>A.I      Základní kapitál</t>
  </si>
  <si>
    <t>A.IV.1 Nerozdělený zisk minulých let</t>
  </si>
  <si>
    <t>Daň ze zisku:</t>
  </si>
  <si>
    <t>POLOŽKA</t>
  </si>
  <si>
    <t>Odpisy</t>
  </si>
  <si>
    <t>Výnosy z finančního majetku</t>
  </si>
  <si>
    <t>Nákladové úroky</t>
  </si>
  <si>
    <t xml:space="preserve">Daň </t>
  </si>
  <si>
    <t>Dividendy (návrh)</t>
  </si>
  <si>
    <t>Příděl do nerozděleného zisku</t>
  </si>
  <si>
    <t>DOPLŇKOVÉ INFORMACE PRO ÚPRAVY ROZVAHY A VÝSLEDOVKY</t>
  </si>
  <si>
    <r>
      <t>na</t>
    </r>
    <r>
      <rPr>
        <b/>
        <sz val="12"/>
        <rFont val="Times New Roman CE"/>
        <charset val="238"/>
      </rPr>
      <t xml:space="preserve"> finanční leasing</t>
    </r>
    <r>
      <rPr>
        <sz val="12"/>
        <rFont val="Times New Roman CE"/>
        <charset val="238"/>
      </rPr>
      <t>.</t>
    </r>
  </si>
  <si>
    <t>značné prostředky na otevření nových trhů. Obdobné náklady plánuje ještě</t>
  </si>
  <si>
    <t>na příští rok.</t>
  </si>
  <si>
    <t>Z hlediska hodnocení efektivnosti jsou považovány za nehmotné aktivum.</t>
  </si>
  <si>
    <t>Informace o majetku, který není nutný k provozu:</t>
  </si>
  <si>
    <t>FINANČNÍ LEASING - podklady pro úpravu finančních výkazů</t>
  </si>
  <si>
    <t>Společnost pořídila park nákladních automobilů na finanční leasing.</t>
  </si>
  <si>
    <t>Běžná prodejní cena automobilů celkem:</t>
  </si>
  <si>
    <t>tis. Kč</t>
  </si>
  <si>
    <t>Hodnota ročních leasingových splátek (vždy k 31. 12.):</t>
  </si>
  <si>
    <t>Odkupní cena na konci třetího roku (navíc k poslední splátce)</t>
  </si>
  <si>
    <t>Využití automobilů v podniku se plánuje na 4 roky, opotřebení bude lineární.</t>
  </si>
  <si>
    <t>Výpočet implicitní úrokové míry:</t>
  </si>
  <si>
    <t>Implicitní úroková míra</t>
  </si>
  <si>
    <t>Podklady pro úpravu rozvahy a výsledovky:</t>
  </si>
  <si>
    <t>Leasingový závazek na začátku roku</t>
  </si>
  <si>
    <t>Úrok</t>
  </si>
  <si>
    <t>Snížení závazku</t>
  </si>
  <si>
    <t>Leasingový závazek na konci roku</t>
  </si>
  <si>
    <t>Zůstatková hodnota pronajatého majetku k 31. 12.</t>
  </si>
  <si>
    <t>Nové náklady leasingu</t>
  </si>
  <si>
    <t>MARKETINGOVÉ VÝDAJE - podklady pro úpravu finančních výkazů</t>
  </si>
  <si>
    <t>efektivnosti jsou tyto výdaje považovány za nehmotné aktivum. Výdaje budou odepisovány</t>
  </si>
  <si>
    <t>vždy po dobu 3 let.</t>
  </si>
  <si>
    <t>Roční marketingové výdaje (náklady)</t>
  </si>
  <si>
    <t>Roční odpis celkem</t>
  </si>
  <si>
    <t>Kumulované výdaje</t>
  </si>
  <si>
    <t>Kumulované odpisy</t>
  </si>
  <si>
    <t>Vlastní kapitál účetní</t>
  </si>
  <si>
    <t>Rezervy</t>
  </si>
  <si>
    <t>Pracovní kapitál</t>
  </si>
  <si>
    <t>Úročený cizí kapitál z účetní rozvahy</t>
  </si>
  <si>
    <t>Celkem</t>
  </si>
  <si>
    <t>Provozně nenutný majetek celkem</t>
  </si>
  <si>
    <t>WACC - PRŮMĚRNÉ VÁŽENÉ NÁKLADY KAPITÁLU</t>
  </si>
  <si>
    <r>
      <t>Předpoklady:</t>
    </r>
    <r>
      <rPr>
        <sz val="12"/>
        <rFont val="Times New Roman CE"/>
        <charset val="238"/>
      </rPr>
      <t xml:space="preserve">  - účetní hodnota cizího kapitálu odpovídá tržní hodnotě (včetně dluhopisů)</t>
    </r>
  </si>
  <si>
    <t xml:space="preserve">                        - odhad nákladů vlastního kapitálu:</t>
  </si>
  <si>
    <t>PODKLADY PRO ODHAD TRŽNÍ HODNOTY VLASTNÍHO KAPITÁLU</t>
  </si>
  <si>
    <t>Očekávaná cena 1 akcie na kapitálovém trhu (Kč)</t>
  </si>
  <si>
    <t>Počet akcií (tis. ks)</t>
  </si>
  <si>
    <t>CIZÍ KAPITÁL</t>
  </si>
  <si>
    <t>Dluhopisy                                   (k počátku roku)</t>
  </si>
  <si>
    <t>Bankovní úvěry                           (k počátku roku)</t>
  </si>
  <si>
    <t>Závazky z leasingu                      (k počátku roku)</t>
  </si>
  <si>
    <t>Cizí kapitál celkem                   (k počátku roku)</t>
  </si>
  <si>
    <t>Podíl složek cizího kapitálu        - dluhopisy</t>
  </si>
  <si>
    <t xml:space="preserve">                                                   - bankovní úvěry</t>
  </si>
  <si>
    <t xml:space="preserve">                                                   - leasing</t>
  </si>
  <si>
    <t>Nominální výše úroků                 - dluhopisy</t>
  </si>
  <si>
    <t>Průměrné náklady cizího kapitálu po dani</t>
  </si>
  <si>
    <t>VLASTNÍ KAPITÁL</t>
  </si>
  <si>
    <t>Tržní hodnota vlast. kapitálu  (k počátku roku)</t>
  </si>
  <si>
    <t>Náklady vlastního kapitálu</t>
  </si>
  <si>
    <t>STRUKTURA KAPITÁLU</t>
  </si>
  <si>
    <t>Tržní hodnota kapitálu celkem</t>
  </si>
  <si>
    <t>Podíl cizího kapitálu</t>
  </si>
  <si>
    <t>Podíl vlastního kapitálu</t>
  </si>
  <si>
    <t>WACC</t>
  </si>
  <si>
    <t>neprojeví dopady leasingu a aktivovaných marketingových výdajů.</t>
  </si>
  <si>
    <t>Daň</t>
  </si>
  <si>
    <t>Ekonomická přidaná hodnota (entity)</t>
  </si>
  <si>
    <t>EVA (tis. Kč)</t>
  </si>
  <si>
    <t>1. fáze</t>
  </si>
  <si>
    <t>EVA</t>
  </si>
  <si>
    <t>Současná hodnota ročních EVA</t>
  </si>
  <si>
    <t>Ocenění pomocí metody MVA (market value added)</t>
  </si>
  <si>
    <t>Pokračující hodnota</t>
  </si>
  <si>
    <t>Současná hodnota pokračující hodnoty</t>
  </si>
  <si>
    <t>Současná hodnota 1 fáze</t>
  </si>
  <si>
    <t>MVA</t>
  </si>
  <si>
    <t>Výnosová hodnota brutto</t>
  </si>
  <si>
    <t>Úročený cizí kapitál celkem</t>
  </si>
  <si>
    <t>Výnosová hodnota netto</t>
  </si>
  <si>
    <t>Neprovozní majetek</t>
  </si>
  <si>
    <t xml:space="preserve">     3. Ostatní dl. cenné papíry a podíly</t>
  </si>
  <si>
    <t>VH za účetní období</t>
  </si>
  <si>
    <t>Korigovaný provozní zisk před daní</t>
  </si>
  <si>
    <t>Provozně potřebná výše peněžních prostředků</t>
  </si>
  <si>
    <t>Nadbytečná výše peněžních prostředků</t>
  </si>
  <si>
    <t>Dlouhodobé i krátkodobé nakoupené cenné papíry (slouží jako uložení peněz).</t>
  </si>
  <si>
    <t>Provozně nutná výše peněžních prostředků</t>
  </si>
  <si>
    <t xml:space="preserve">odpovídá hodnotě okamžité likvidity </t>
  </si>
  <si>
    <t>(tj. peníze a účty u bank / krátkodobé závazky)</t>
  </si>
  <si>
    <t>Předpokládá se, že výše majetku a výsledků hospodaření se dlouhodobě</t>
  </si>
  <si>
    <t>NOPAT</t>
  </si>
  <si>
    <t>Investice netto</t>
  </si>
  <si>
    <t>FCFF</t>
  </si>
  <si>
    <t>Současná hodnota FCFF</t>
  </si>
  <si>
    <t>Změna nákladových rezerv</t>
  </si>
  <si>
    <t>Provozní výsledek hospodaření z výsledovky</t>
  </si>
  <si>
    <t>Eliminace změny nákl. rezerv (přičteme náklad zpět)</t>
  </si>
  <si>
    <t>Výkonová spotřeba</t>
  </si>
  <si>
    <t>Osobní náklady</t>
  </si>
  <si>
    <t>Provozní výsledek hospodaření</t>
  </si>
  <si>
    <t>Finanční výsledek hospodaření</t>
  </si>
  <si>
    <t>Změna rezerv</t>
  </si>
  <si>
    <t>Změna zásob</t>
  </si>
  <si>
    <t>Změna pohledávek</t>
  </si>
  <si>
    <t>Změna krátkodobých závazků</t>
  </si>
  <si>
    <t>Provozní cash flow</t>
  </si>
  <si>
    <t>Investice do dlouhodobého majetku</t>
  </si>
  <si>
    <t>Investiční cash flow</t>
  </si>
  <si>
    <t>Výplaty dividend</t>
  </si>
  <si>
    <t>Změna bankovních úvěrů a dluhopisů</t>
  </si>
  <si>
    <t>Finanční cash flow</t>
  </si>
  <si>
    <t>Peněžní prostředky k začátku roku</t>
  </si>
  <si>
    <t>Peněžní prostředky ke konci roku</t>
  </si>
  <si>
    <t>Celkové cash flow</t>
  </si>
  <si>
    <t>Změna krátkodobých cenných papírů</t>
  </si>
  <si>
    <t>Tržby z prodeje investičního majetku</t>
  </si>
  <si>
    <t>Rozdíl</t>
  </si>
  <si>
    <t>ROZVAHA SPOLEČNOSTI DELTA, A.S. (tis. Kč) - údaje k 31. 12.</t>
  </si>
  <si>
    <t>ROZVAHA  SPOLEČNOSTI DELTA,  A.S. (tis. Kč) - údaje k 31. 12.</t>
  </si>
  <si>
    <t>VÝSLEDOVKA SPOLEČNOSTI DELTA, A.S. (tis. Kč)</t>
  </si>
  <si>
    <t>VÝKAZ CASH FLOW SPOLEČNOSTI DELTA, A.S. (tis. Kč)</t>
  </si>
  <si>
    <t>KORIGOVANÝ PROVOZNÍ VH pro DCF</t>
  </si>
  <si>
    <t>Korigovaný provozní VH po dani</t>
  </si>
  <si>
    <t>Změna rezerv (provozních)</t>
  </si>
  <si>
    <t>Marketing - výdaje vrátit</t>
  </si>
  <si>
    <t>Marketing - odpisy započítat</t>
  </si>
  <si>
    <t>Odúročitel</t>
  </si>
  <si>
    <t>VH za úč. období (bez prodeje DM)</t>
  </si>
  <si>
    <r>
      <t xml:space="preserve">Společnost Delta v minulém roce vynaložila v rámci </t>
    </r>
    <r>
      <rPr>
        <b/>
        <sz val="12"/>
        <rFont val="Times New Roman CE"/>
        <charset val="238"/>
      </rPr>
      <t>marketingových výdajů</t>
    </r>
  </si>
  <si>
    <t>Úprava rozvahy kromě vyloučení neprovozního majetku</t>
  </si>
  <si>
    <t>Dlouh.maj. účetní</t>
  </si>
  <si>
    <t>Dlouhodobý finanční majetek</t>
  </si>
  <si>
    <t>Krátkodobý finanční majetek</t>
  </si>
  <si>
    <t>Daňová sazba</t>
  </si>
  <si>
    <t>NOA k začátku roku</t>
  </si>
  <si>
    <t>NOA k datu ocenění</t>
  </si>
  <si>
    <t xml:space="preserve">Korigovaný provozní zisk po dani </t>
  </si>
  <si>
    <r>
      <t>Odúročitel</t>
    </r>
    <r>
      <rPr>
        <i/>
        <sz val="12"/>
        <rFont val="Times New Roman CE"/>
        <charset val="238"/>
      </rPr>
      <t xml:space="preserve"> (pro každý rok platí jiná disk. míra)</t>
    </r>
  </si>
  <si>
    <t>NOA</t>
  </si>
  <si>
    <t>Společnost Delta vynaloží značné prostředky na otevření nových trhů. Z hlediska hodnocení</t>
  </si>
  <si>
    <t>Aktivované  náklady na marketing</t>
  </si>
  <si>
    <t>Ocenění pomocí metody DCF</t>
  </si>
  <si>
    <t>GOODWILL - podklady pro úpravu finančních výkazů</t>
  </si>
  <si>
    <t>Původní výše goodwillu:</t>
  </si>
  <si>
    <t>Roční odpis</t>
  </si>
  <si>
    <t>Goodwill v účetnictví (zůstatková hodnota ke konci roku)</t>
  </si>
  <si>
    <t>Ekvivalenty vlastního kapitálu (marketing)</t>
  </si>
  <si>
    <t>Vrácené odpisy goodwillu</t>
  </si>
  <si>
    <t>Ekvivalenty vlastního kapitálu (goodwill)</t>
  </si>
  <si>
    <t>Eliminace odpisů z goodwillu</t>
  </si>
  <si>
    <t xml:space="preserve">Eliminace změny nákl. rezerv </t>
  </si>
  <si>
    <t>Majetek na leasing</t>
  </si>
  <si>
    <t>Původní náklady leasingu</t>
  </si>
  <si>
    <t>Závazek z leasingu</t>
  </si>
  <si>
    <t>Leasing - nové odpisy započítat</t>
  </si>
  <si>
    <t>Leasing - leasingová platba a původní odpis vrátit</t>
  </si>
  <si>
    <t>EAT korigovaný</t>
  </si>
  <si>
    <t>Ekonomická přidaná hodnota (equity)</t>
  </si>
  <si>
    <t>EAT</t>
  </si>
  <si>
    <t>FCFE</t>
  </si>
  <si>
    <t xml:space="preserve">                        - odhad n VK nezadlužených</t>
  </si>
  <si>
    <t xml:space="preserve">NOA k 1. 1. </t>
  </si>
  <si>
    <t>MVA k 1. 1.</t>
  </si>
  <si>
    <t>Výnosová hodnota brutto k 1.1.</t>
  </si>
  <si>
    <t>Úročený cizí kapitál celkem k 1.1.</t>
  </si>
  <si>
    <t>Výnosová hodnota netto k 1.1.</t>
  </si>
  <si>
    <t>Hodnota brutto k 1.1.</t>
  </si>
  <si>
    <t>Průměrné náklady cizího kapitálu před daní</t>
  </si>
  <si>
    <t>SH daňové úspory</t>
  </si>
  <si>
    <t>Daňová úspora roční</t>
  </si>
  <si>
    <t>Úroky po dani</t>
  </si>
  <si>
    <t>MVA k 1.1.</t>
  </si>
  <si>
    <t>DAŇOVÁ ÚSPORA</t>
  </si>
  <si>
    <t>DAŇOVÝ ŠTÍT</t>
  </si>
  <si>
    <t>Daň připadající na korigovaný provozní zisk</t>
  </si>
  <si>
    <t>OCENĚNÍ POMOCÍ METODY EVA APV</t>
  </si>
  <si>
    <t>Ekonomická přidaná hodnota (APV)</t>
  </si>
  <si>
    <t>EVA APV</t>
  </si>
  <si>
    <t>V původních účetních výkazech je leasing podle českých účetních pravidel.</t>
  </si>
  <si>
    <t xml:space="preserve">VH za úč. období </t>
  </si>
  <si>
    <t>Výsledná hodnota netto</t>
  </si>
  <si>
    <t>Marketing – původní výdaj vrácený k zisku</t>
  </si>
  <si>
    <t>Marketing – odpisy započítaný nově do nákladů</t>
  </si>
  <si>
    <t>Před úpravou</t>
  </si>
  <si>
    <t>Po úpravě</t>
  </si>
  <si>
    <t>Hodnota brutto z hlavního provozu</t>
  </si>
  <si>
    <t>Cizí úročený kapitál</t>
  </si>
  <si>
    <t>Hodnota netto z hlavního provozu</t>
  </si>
  <si>
    <t>B.I Dlouhodobý nehm. maj. (goodwill)</t>
  </si>
  <si>
    <t>Korekce VH (původní minus nové náklady)</t>
  </si>
  <si>
    <t>Mařík Miloš a kol.:</t>
  </si>
  <si>
    <t>METODY OCEŇOVÁNÍ PODNIKU PRO POKROČILÉ</t>
  </si>
  <si>
    <t>Příklad</t>
  </si>
  <si>
    <t>VZÁJEMNÁ SHODA METOD DCF A EVA</t>
  </si>
  <si>
    <t>© Miloš Mařík, Pavla Maříková</t>
  </si>
  <si>
    <t>Ostatní buňky již obsahují výpočtové vzorce, které na tyto vstupy navazují.</t>
  </si>
  <si>
    <t xml:space="preserve">Po klepnutí na buňky s vypočítanou hodnotou v jednotlivých tabulkách je možné </t>
  </si>
  <si>
    <t>prohlédnout si v řádku vzorců způsob výpočtu dané hodnoty.</t>
  </si>
  <si>
    <t>Soubor obsahuje automatické iterace. Pro jejich správné fungování</t>
  </si>
  <si>
    <t>je nutné v Excelu povolit iterace:</t>
  </si>
  <si>
    <t>Excel verze 2003:</t>
  </si>
  <si>
    <t>Nástroje - Možnosti - karta Výpočty - zatrhnout políčko Iterace</t>
  </si>
  <si>
    <t>Excel verze 2007 a vyšší:</t>
  </si>
  <si>
    <t xml:space="preserve">Kulaté tlačítko Office v levém horním rohu (nebo první záložka Soubor </t>
  </si>
  <si>
    <t>u novějších verzí) - Možnosti aplikace Excel - Vzorce - zatrhnout políčko</t>
  </si>
  <si>
    <t>Povolit iterativní přepočet</t>
  </si>
  <si>
    <t>Když nejsou iterace povoleny, objeví se chybová hláška "kruhový odkaz".</t>
  </si>
  <si>
    <t>Úprava rozvahy kromě vyloučení neprovozního majetku, snížení o neúročený cizí kapitál</t>
  </si>
  <si>
    <t>Provozně nepotřebný majetek</t>
  </si>
  <si>
    <t>Čistá operační aktiva = provozně nutný investovaný kapitál</t>
  </si>
  <si>
    <t>NOA = Provozně nutný investovaný kapitál</t>
  </si>
  <si>
    <t xml:space="preserve">                                                 - bankovní úvěry</t>
  </si>
  <si>
    <t xml:space="preserve">                                                  - bankovní úvěry</t>
  </si>
  <si>
    <t>Finanční výnosy a náklady:</t>
  </si>
  <si>
    <t>Korigovaný provozní zisk po dani  (KPVH)</t>
  </si>
  <si>
    <t>NOPAT pro metodu EVA</t>
  </si>
  <si>
    <t>KPVH pro metodu DCF</t>
  </si>
  <si>
    <t>VÝSLEDKY HOSPODAŘENÍ</t>
  </si>
  <si>
    <r>
      <t>Náklady investovaného kapitálu (WACC</t>
    </r>
    <r>
      <rPr>
        <sz val="12"/>
        <rFont val="Calibri"/>
        <family val="2"/>
        <charset val="238"/>
      </rPr>
      <t>∙</t>
    </r>
    <r>
      <rPr>
        <sz val="12"/>
        <rFont val="Times New Roman CE"/>
        <charset val="238"/>
      </rPr>
      <t>NOA)</t>
    </r>
  </si>
  <si>
    <t>NOA k 31. 12. (tis. Kč)</t>
  </si>
  <si>
    <t>příkladu.</t>
  </si>
  <si>
    <r>
      <rPr>
        <b/>
        <sz val="10"/>
        <rFont val="Arial"/>
        <family val="2"/>
        <charset val="238"/>
      </rPr>
      <t>Oranžově vyznačené buňky</t>
    </r>
    <r>
      <rPr>
        <sz val="10"/>
        <rFont val="Arial"/>
        <family val="2"/>
        <charset val="238"/>
      </rPr>
      <t xml:space="preserve"> zvýrazňují změny v datech vždy oproti předchozí části</t>
    </r>
  </si>
  <si>
    <r>
      <t>Ve</t>
    </r>
    <r>
      <rPr>
        <b/>
        <sz val="10"/>
        <rFont val="Arial"/>
        <family val="2"/>
        <charset val="238"/>
      </rPr>
      <t xml:space="preserve"> žlutě vyznačených buňkách</t>
    </r>
    <r>
      <rPr>
        <sz val="10"/>
        <rFont val="Arial"/>
        <family val="2"/>
        <charset val="238"/>
      </rPr>
      <t xml:space="preserve"> se nacházejí vstupní data, která je možno měnit.</t>
    </r>
  </si>
  <si>
    <t xml:space="preserve">Zůstatková hodnota marketingových výdajů  k 31. 12.   </t>
  </si>
  <si>
    <t>Provozně nenutný majetek</t>
  </si>
  <si>
    <t>Podíl složek cizího kapitálu          - dluhopisy</t>
  </si>
  <si>
    <t>Nominální výše úroků                  - dluhopisy</t>
  </si>
  <si>
    <t xml:space="preserve">                        - odhad nákladů VK nezadlužených</t>
  </si>
  <si>
    <t>WACC - PŘED ÚPRAVOU LEASINGU, PO VYLADĚNÍ KAPITÁLOVÉ STRUKTURY</t>
  </si>
  <si>
    <t>Čistý operační zisk po dani (NOPAT)</t>
  </si>
  <si>
    <t>Čistý operační zisk před daní (NOPBT)</t>
  </si>
  <si>
    <r>
      <t>Náklady VK (n</t>
    </r>
    <r>
      <rPr>
        <vertAlign val="subscript"/>
        <sz val="12"/>
        <rFont val="Times New Roman CE"/>
        <charset val="238"/>
      </rPr>
      <t>VKn</t>
    </r>
    <r>
      <rPr>
        <sz val="12"/>
        <rFont val="Calibri"/>
        <family val="2"/>
        <charset val="238"/>
      </rPr>
      <t>∙</t>
    </r>
    <r>
      <rPr>
        <sz val="12"/>
        <rFont val="Times New Roman CE"/>
        <charset val="238"/>
      </rPr>
      <t>VK)</t>
    </r>
  </si>
  <si>
    <t>EVA equity (tis. Kč)</t>
  </si>
  <si>
    <r>
      <t>n</t>
    </r>
    <r>
      <rPr>
        <vertAlign val="subscript"/>
        <sz val="12"/>
        <rFont val="Times New Roman CE"/>
        <charset val="238"/>
      </rPr>
      <t>VKz</t>
    </r>
  </si>
  <si>
    <t>NOPAT a EAT pro metodu EVA</t>
  </si>
  <si>
    <t>Náklady VK zadlužené</t>
  </si>
  <si>
    <t>OCENĚNÍ POMOCÍ METODY DCF EQUITY</t>
  </si>
  <si>
    <t>OCENĚNÍ POMOCÍ METODY EVA EQUITY</t>
  </si>
  <si>
    <t>VK upravený k začátku roku</t>
  </si>
  <si>
    <t>VK upravený k 1.1.</t>
  </si>
  <si>
    <t>OCENĚNÍ POMOCÍ METODY DCF APV</t>
  </si>
  <si>
    <t>Hodnota nezadlužené firmy</t>
  </si>
  <si>
    <t>Současná hodnota daňových štítů</t>
  </si>
  <si>
    <t>OCENĚNÍ POMOCÍ METODY EVA ENTITY</t>
  </si>
  <si>
    <t>OCENĚNÍ POMOCÍ METODY DCF ENTITY</t>
  </si>
  <si>
    <t>Tržní</t>
  </si>
  <si>
    <t>cena</t>
  </si>
  <si>
    <t>Platby za leasing</t>
  </si>
  <si>
    <t>Peněžní tok spojený s leasingem</t>
  </si>
  <si>
    <t>Leasingová platba celkem</t>
  </si>
  <si>
    <t>a) Splátkový kalendář (umořovací plán):</t>
  </si>
  <si>
    <t>b) Podklady pro úpravu aktiv:</t>
  </si>
  <si>
    <t>c) Podklady pro úpravu výsledku hospodaření ve výsledovce a v pasivech:</t>
  </si>
  <si>
    <t>WACC - PRŮMĚRNÉ VÁŽENÉ NÁKLADY KAPITÁLU PO ZAPOČTENÍ LEASINGU</t>
  </si>
  <si>
    <t>Porovnání výsledků před úpravou o leasing a po úpravě (obojí s vyladěnou strukturou)</t>
  </si>
  <si>
    <t>Kumulovaná korekce VH (leasing)</t>
  </si>
  <si>
    <t>Úroky z výsledovky po dani</t>
  </si>
  <si>
    <t>Úroky z leasingu po dani</t>
  </si>
  <si>
    <t>Daň (snížená o daňový štít z leasingových úroků)</t>
  </si>
  <si>
    <t>Ocenění pomocí metody MVA (equity)</t>
  </si>
  <si>
    <t>Ocenění pomocí metody MVA (APV)</t>
  </si>
  <si>
    <r>
      <t>n</t>
    </r>
    <r>
      <rPr>
        <vertAlign val="subscript"/>
        <sz val="12"/>
        <rFont val="Times New Roman CE"/>
        <charset val="238"/>
      </rPr>
      <t>VKn</t>
    </r>
  </si>
  <si>
    <r>
      <t>Náklady kapitálu (n</t>
    </r>
    <r>
      <rPr>
        <vertAlign val="subscript"/>
        <sz val="12"/>
        <rFont val="Times New Roman CE"/>
        <charset val="238"/>
      </rPr>
      <t>VKn</t>
    </r>
    <r>
      <rPr>
        <sz val="12"/>
        <rFont val="Calibri"/>
        <family val="2"/>
        <charset val="238"/>
      </rPr>
      <t>∙</t>
    </r>
    <r>
      <rPr>
        <sz val="12"/>
        <rFont val="Times New Roman CE"/>
        <charset val="238"/>
      </rPr>
      <t>NOA)</t>
    </r>
  </si>
  <si>
    <r>
      <t>Náklady VK (n</t>
    </r>
    <r>
      <rPr>
        <vertAlign val="subscript"/>
        <sz val="12"/>
        <rFont val="Times New Roman CE"/>
        <charset val="238"/>
      </rPr>
      <t>VKz</t>
    </r>
    <r>
      <rPr>
        <sz val="12"/>
        <rFont val="Calibri"/>
        <family val="2"/>
        <charset val="238"/>
      </rPr>
      <t>∙</t>
    </r>
    <r>
      <rPr>
        <sz val="12"/>
        <rFont val="Times New Roman CE"/>
        <charset val="238"/>
      </rPr>
      <t>VK)</t>
    </r>
  </si>
  <si>
    <t>EVA APV (tis. Kč)</t>
  </si>
  <si>
    <t>EVA equity</t>
  </si>
  <si>
    <t>MVA (equity)</t>
  </si>
  <si>
    <t>MVA (APV)</t>
  </si>
  <si>
    <t>Zněna úročeného cizího kapitálu</t>
  </si>
  <si>
    <t>Cizí kapitál celkem                  (k počátku roku)</t>
  </si>
  <si>
    <t>Tempo růstu ve druhé fázi</t>
  </si>
  <si>
    <t>Skok na obsah</t>
  </si>
  <si>
    <t>VÝSLEDKY HOSPODAŘENÍ PŘED ÚPRAVOU LEASINGU</t>
  </si>
  <si>
    <t>OCENĚNÍ POMOCÍ METODY EVA ENTITY PŘED ÚPRAVOU LEASINGU</t>
  </si>
  <si>
    <t>OCENĚNÍ POMOCÍ METODY DCF ENTITY PŘED ÚPRAVOU LEASINGU</t>
  </si>
  <si>
    <t>OCENĚNÍ POMOCÍ METODY EVA EQUITY PŘED ÚPRAVOU LEASINGU</t>
  </si>
  <si>
    <t>OCENĚNÍ POMOCÍ METODY DCF EQUITY PŘED ÚPRAVOU LEASINGU</t>
  </si>
  <si>
    <t>OCENĚNÍ POMOCÍ METODY DCF APV PŘED ÚPRAVOU LEASINGU</t>
  </si>
  <si>
    <t>Podnik Delta, a.s. má být oceněn metodou EVA a DCF.</t>
  </si>
  <si>
    <t>Do výchozích pokladů (1 rok minulosti, 3 roky plánu) budou postupně promítány úpravy</t>
  </si>
  <si>
    <t>vyžadované metodou EVA.</t>
  </si>
  <si>
    <t>Klepnutím na název listu v obsahu se seznamem listů lze rychle přejít na požadovanou část příkladu.</t>
  </si>
  <si>
    <t>V pravém horním rohu každého listu je pak hypertextový odkaz "Skok na obsah", na který je možné</t>
  </si>
  <si>
    <t>klepnout a rychle se tak vrátit na tento výchozí list s obsahem.</t>
  </si>
  <si>
    <t>Komentář</t>
  </si>
  <si>
    <t>Aktiva</t>
  </si>
  <si>
    <t>Účetní výkazy za jeden minulý rok a tři roky plánu</t>
  </si>
  <si>
    <t>Pasiva</t>
  </si>
  <si>
    <t>Výsledovka</t>
  </si>
  <si>
    <t>Cash flow</t>
  </si>
  <si>
    <t>Informace</t>
  </si>
  <si>
    <t>Doplňkové informace</t>
  </si>
  <si>
    <t>V rámci každé části příkladu jsou listy s oceněním podniku zvýrazněny žlutou barvou záložky.</t>
  </si>
  <si>
    <t>Část příkladu a název listu</t>
  </si>
  <si>
    <t>Část 1: Zadání příkladu a úpravy společné pro metodu DCF i EVA (str. 197-202)</t>
  </si>
  <si>
    <t>Společné úpravy - NOA</t>
  </si>
  <si>
    <t>Společné úpravy - WACC</t>
  </si>
  <si>
    <t>Společné úpravy - Hodnota</t>
  </si>
  <si>
    <t>Úprava rozvahy a výpočet NOA</t>
  </si>
  <si>
    <t>Průměrné vážené náklady kapitálu</t>
  </si>
  <si>
    <t>Část 2: Nákladové rezervy (str. 204-207)</t>
  </si>
  <si>
    <t>Rezervy - Pasiva</t>
  </si>
  <si>
    <t>Rezervy - Výsledovka</t>
  </si>
  <si>
    <t>Rezervy - Cash flow</t>
  </si>
  <si>
    <t>Rezervy - NOA</t>
  </si>
  <si>
    <t>Rezervy - Hodnota</t>
  </si>
  <si>
    <t>Pasiva upravená o nákladové rezervy</t>
  </si>
  <si>
    <t>Výsledovka upravená o nákladové rezervy</t>
  </si>
  <si>
    <t>Výkaz cash flow upravený u nákladové rezervy</t>
  </si>
  <si>
    <t>Část 3: Aktivace marketingových nákladů s investičním charakterem (str. 210-212)</t>
  </si>
  <si>
    <t>Marketing - příprava</t>
  </si>
  <si>
    <t>Marketing - NOA</t>
  </si>
  <si>
    <t>Marketing - Hodnota</t>
  </si>
  <si>
    <t>Podklady pro úpravu výkazů o marketing</t>
  </si>
  <si>
    <t>Část 4: Goodwill (str. 214-217)</t>
  </si>
  <si>
    <t>Goodwill - příprava</t>
  </si>
  <si>
    <t>Goodwill - Aktiva</t>
  </si>
  <si>
    <t>Goodwill - NOA</t>
  </si>
  <si>
    <t>Goodwill - Hodnota</t>
  </si>
  <si>
    <t>Aktiva upravená o goodwill</t>
  </si>
  <si>
    <t>Část 5: Leasing (str. 218-227)</t>
  </si>
  <si>
    <t>Leasing - WACC před leas.</t>
  </si>
  <si>
    <t>Leasing - Hodnota před leas.</t>
  </si>
  <si>
    <t>WACC před úpravou o leasing s vyladěnou kapitálovou strukturou</t>
  </si>
  <si>
    <t>EVA, FCFF, ocenění metodou EVA entity a DCF entity</t>
  </si>
  <si>
    <t>Leasing - H equity před leas.</t>
  </si>
  <si>
    <t>Leasing - příprava</t>
  </si>
  <si>
    <t>Leasing - NOA</t>
  </si>
  <si>
    <t>Leasing - WACC</t>
  </si>
  <si>
    <t>Podklady pro úpravu výkazů o leasing</t>
  </si>
  <si>
    <t>WACC po úpravě o leasing s vyladěnou kapitálovou strukturou</t>
  </si>
  <si>
    <t>Leasing - Hodnota entity</t>
  </si>
  <si>
    <t>EVA, FCFF, ocenění EVA entity a DCF entity po iteracích, před leasingem</t>
  </si>
  <si>
    <t>EVA, FCFF, ocenění EVA equity a DCF equity a APV po iteracích, před leasingem</t>
  </si>
  <si>
    <t>EVA, FCFF, ocenění EVA entity a DCF entity po iteracích po úpravě o leasing</t>
  </si>
  <si>
    <t>Hodnota equity a APV</t>
  </si>
  <si>
    <t>Část 6: Ocenění metodou DCF a EVA ve variantě equity a APV (str. 229-232)</t>
  </si>
  <si>
    <t>Část 7: Nenulový růst ve druhé fázi (str. 234-237)</t>
  </si>
  <si>
    <t>Růst - WACC</t>
  </si>
  <si>
    <t>Růst - Hodnota entity</t>
  </si>
  <si>
    <t>Růst - Hodnota equity a APV</t>
  </si>
  <si>
    <t>WACC po promítnutí růstu ve druhé fázi do daňového štítu</t>
  </si>
  <si>
    <t>EVA, FCFF, ocenění EVA entity a DCF entity při růstu ve druhé fázi</t>
  </si>
  <si>
    <t>EVA, FCFF, ocenění EVA equity a APV a DCF equity a APV při růstu ve 2. fázi</t>
  </si>
  <si>
    <t>EVA, FCFF, ocenění EVA equity a APV a DCF equity a APV</t>
  </si>
  <si>
    <t>je poslední skutečný rok, za který jsou k dispozici minulé výkazy.</t>
  </si>
  <si>
    <t>Úvod</t>
  </si>
  <si>
    <t>Úvodní list k příkladu</t>
  </si>
  <si>
    <t>B. STÁLÁ AKTIVA</t>
  </si>
  <si>
    <t xml:space="preserve">     1.1 Pozemky</t>
  </si>
  <si>
    <t xml:space="preserve">     1.2 Stavby</t>
  </si>
  <si>
    <t xml:space="preserve">     2.   Hmotné movité věci </t>
  </si>
  <si>
    <t xml:space="preserve">     3.1 Výrobky</t>
  </si>
  <si>
    <t>C.II.2 Krátkodobé pohledávky</t>
  </si>
  <si>
    <t xml:space="preserve">     2.1 Pohledávky z obchodních vztahů</t>
  </si>
  <si>
    <t xml:space="preserve">           Ostatní krátkodobé pohledávky</t>
  </si>
  <si>
    <t xml:space="preserve">     1.   Materiál</t>
  </si>
  <si>
    <t xml:space="preserve">     2.   Nedokončená výroba</t>
  </si>
  <si>
    <t>C.III Krátkodobý finanční majetek</t>
  </si>
  <si>
    <t>C.IV Peněžní prostředky</t>
  </si>
  <si>
    <t>A.II     Ážio a kapitálové fondy</t>
  </si>
  <si>
    <t>A.III    Fondy ze zisku</t>
  </si>
  <si>
    <t>A.V     VH běžného účetního období</t>
  </si>
  <si>
    <t>B.+C. CIZÍ ZDROJE</t>
  </si>
  <si>
    <t>C.I  Dlouhodobé závazky</t>
  </si>
  <si>
    <t xml:space="preserve">       1. Vydané dluhopisy</t>
  </si>
  <si>
    <r>
      <t xml:space="preserve">       2. Závazky k úvěrovým institucím </t>
    </r>
    <r>
      <rPr>
        <i/>
        <sz val="12"/>
        <rFont val="Times New Roman CE"/>
        <family val="1"/>
        <charset val="238"/>
      </rPr>
      <t>(úvěry)</t>
    </r>
  </si>
  <si>
    <t>C.II Krátkodobé závazky</t>
  </si>
  <si>
    <t xml:space="preserve">       4.   Z obchodních vztahů</t>
  </si>
  <si>
    <t xml:space="preserve">       8.3 K zaměstnancům</t>
  </si>
  <si>
    <t>Tržby z prodeje výrobků a služeb</t>
  </si>
  <si>
    <r>
      <t>Úpravy hodnot v provozní oblasti</t>
    </r>
    <r>
      <rPr>
        <i/>
        <sz val="12"/>
        <color rgb="FF000000"/>
        <rFont val="Times New Roman CE"/>
        <charset val="238"/>
      </rPr>
      <t xml:space="preserve"> (odpisy)</t>
    </r>
  </si>
  <si>
    <t>VH před zdaněním</t>
  </si>
  <si>
    <t>B.I   Rezervy</t>
  </si>
  <si>
    <t xml:space="preserve">     5. Ostatní dl. cenné papíry a podíly</t>
  </si>
  <si>
    <t>Ekopress 2023, Praha, třetí vydání</t>
  </si>
  <si>
    <t>ISBN 978-80-87865-89-7</t>
  </si>
  <si>
    <t>Kapitola 6, začátek příkladu na straně publikace: 215</t>
  </si>
  <si>
    <t>Část 1 (str. 215-220): Výchozí zadání</t>
  </si>
  <si>
    <t>Část 1 (str. 215-220): Společné úpravy vstupních dat</t>
  </si>
  <si>
    <t>Část 2 (str. 222-226): Nákladové rezervy</t>
  </si>
  <si>
    <t>Část 3 (str. 228-230): Aktivace nákladů</t>
  </si>
  <si>
    <t>Část 4 (str. 232-235): Goodwill</t>
  </si>
  <si>
    <t>Část 5 (str. 236-245): Leasing</t>
  </si>
  <si>
    <t>Část 6 (str. 248-250): Varianty equity a APV</t>
  </si>
  <si>
    <t>Část 7 (str. 252-256): Růst ve druhé fázi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</si>
</sst>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#,##0_0"/>
    <numFmt numFmtId="165" formatCode="#,##0.0_0"/>
    <numFmt numFmtId="166" formatCode="0.0%"/>
    <numFmt numFmtId="167" formatCode="#,##0.00_0"/>
    <numFmt numFmtId="168" formatCode="#,##0.000_0"/>
    <numFmt numFmtId="169" formatCode="#,##0.0000_0"/>
    <numFmt numFmtId="170" formatCode="0.0000"/>
    <numFmt numFmtId="171" formatCode="0.00000"/>
  </numFmts>
  <fonts count="67" x14ac:knownFonts="1">
    <font>
      <sz val="12"/>
      <name val="Times New Roman CE"/>
      <charset val="238"/>
    </font>
    <font>
      <b/>
      <sz val="12"/>
      <name val="Times New Roman CE"/>
      <charset val="238"/>
    </font>
    <font>
      <i/>
      <sz val="12"/>
      <name val="Times New Roman CE"/>
      <charset val="238"/>
    </font>
    <font>
      <sz val="12"/>
      <name val="Times New Roman CE"/>
      <charset val="238"/>
    </font>
    <font>
      <sz val="12"/>
      <name val="Times New Roman CE"/>
      <family val="1"/>
      <charset val="238"/>
    </font>
    <font>
      <sz val="12"/>
      <name val="Wingdings"/>
      <charset val="2"/>
    </font>
    <font>
      <b/>
      <sz val="12"/>
      <color indexed="12"/>
      <name val="Times New Roman CE"/>
      <family val="1"/>
      <charset val="238"/>
    </font>
    <font>
      <b/>
      <u/>
      <sz val="12"/>
      <color indexed="16"/>
      <name val="Times New Roman CE"/>
      <family val="1"/>
      <charset val="238"/>
    </font>
    <font>
      <b/>
      <sz val="12"/>
      <color indexed="17"/>
      <name val="Times New Roman CE"/>
      <family val="1"/>
      <charset val="238"/>
    </font>
    <font>
      <sz val="12"/>
      <color indexed="18"/>
      <name val="Times New Roman CE"/>
      <family val="1"/>
      <charset val="238"/>
    </font>
    <font>
      <sz val="11"/>
      <color indexed="18"/>
      <name val="Times New Roman CE"/>
      <family val="1"/>
      <charset val="238"/>
    </font>
    <font>
      <sz val="12"/>
      <color indexed="8"/>
      <name val="Times New Roman CE"/>
      <family val="1"/>
      <charset val="238"/>
    </font>
    <font>
      <sz val="11"/>
      <color indexed="8"/>
      <name val="Times New Roman CE"/>
      <family val="1"/>
      <charset val="238"/>
    </font>
    <font>
      <b/>
      <sz val="12"/>
      <color indexed="18"/>
      <name val="Times New Roman CE"/>
      <family val="1"/>
      <charset val="238"/>
    </font>
    <font>
      <b/>
      <sz val="11"/>
      <color indexed="18"/>
      <name val="Times New Roman CE"/>
      <family val="1"/>
      <charset val="238"/>
    </font>
    <font>
      <b/>
      <sz val="12"/>
      <color indexed="16"/>
      <name val="Times New Roman CE"/>
      <family val="1"/>
      <charset val="238"/>
    </font>
    <font>
      <b/>
      <u/>
      <sz val="12"/>
      <color indexed="18"/>
      <name val="Times New Roman CE"/>
      <family val="1"/>
      <charset val="238"/>
    </font>
    <font>
      <b/>
      <sz val="12"/>
      <color indexed="17"/>
      <name val="Times New Roman CE"/>
      <charset val="238"/>
    </font>
    <font>
      <sz val="12"/>
      <color indexed="20"/>
      <name val="Times New Roman CE"/>
      <family val="1"/>
      <charset val="238"/>
    </font>
    <font>
      <sz val="11"/>
      <name val="Times New Roman CE"/>
      <family val="1"/>
      <charset val="238"/>
    </font>
    <font>
      <b/>
      <sz val="16"/>
      <name val="Arial CE"/>
      <family val="2"/>
      <charset val="238"/>
    </font>
    <font>
      <b/>
      <sz val="12"/>
      <color indexed="20"/>
      <name val="Times New Roman CE"/>
      <charset val="238"/>
    </font>
    <font>
      <b/>
      <sz val="11"/>
      <name val="Times New Roman CE"/>
      <family val="1"/>
      <charset val="238"/>
    </font>
    <font>
      <b/>
      <sz val="12"/>
      <color indexed="51"/>
      <name val="Times New Roman CE"/>
      <family val="1"/>
      <charset val="238"/>
    </font>
    <font>
      <b/>
      <sz val="12"/>
      <color indexed="10"/>
      <name val="Times New Roman CE"/>
      <family val="1"/>
      <charset val="238"/>
    </font>
    <font>
      <b/>
      <sz val="12"/>
      <name val="Times New Roman CE"/>
      <charset val="238"/>
    </font>
    <font>
      <i/>
      <sz val="12"/>
      <color indexed="18"/>
      <name val="Times New Roman CE"/>
      <family val="1"/>
      <charset val="238"/>
    </font>
    <font>
      <i/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i/>
      <sz val="11"/>
      <name val="Times New Roman CE"/>
      <charset val="238"/>
    </font>
    <font>
      <sz val="11"/>
      <color indexed="62"/>
      <name val="Times New Roman CE"/>
      <family val="1"/>
      <charset val="238"/>
    </font>
    <font>
      <b/>
      <sz val="12"/>
      <color indexed="18"/>
      <name val="Times New Roman CE"/>
      <charset val="238"/>
    </font>
    <font>
      <b/>
      <sz val="11"/>
      <color indexed="18"/>
      <name val="Times New Roman CE"/>
      <charset val="238"/>
    </font>
    <font>
      <b/>
      <sz val="11"/>
      <color indexed="62"/>
      <name val="Times New Roman CE"/>
      <charset val="238"/>
    </font>
    <font>
      <b/>
      <i/>
      <sz val="12"/>
      <color indexed="8"/>
      <name val="Times New Roman CE"/>
      <charset val="238"/>
    </font>
    <font>
      <b/>
      <i/>
      <sz val="11"/>
      <color indexed="8"/>
      <name val="Times New Roman CE"/>
      <charset val="238"/>
    </font>
    <font>
      <sz val="12"/>
      <color indexed="18"/>
      <name val="Times New Roman CE"/>
      <charset val="238"/>
    </font>
    <font>
      <i/>
      <sz val="12"/>
      <color indexed="61"/>
      <name val="Times New Roman CE"/>
      <charset val="238"/>
    </font>
    <font>
      <b/>
      <sz val="11"/>
      <name val="Times New Roman CE"/>
      <charset val="238"/>
    </font>
    <font>
      <b/>
      <sz val="12"/>
      <color indexed="12"/>
      <name val="Times New Roman CE"/>
      <charset val="238"/>
    </font>
    <font>
      <b/>
      <sz val="12"/>
      <color indexed="56"/>
      <name val="Times New Roman CE"/>
      <charset val="238"/>
    </font>
    <font>
      <b/>
      <sz val="12"/>
      <color indexed="10"/>
      <name val="Times New Roman CE"/>
      <charset val="238"/>
    </font>
    <font>
      <sz val="10"/>
      <color indexed="18"/>
      <name val="Times New Roman CE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2"/>
      <color rgb="FF800000"/>
      <name val="Times New Roman"/>
      <family val="1"/>
      <charset val="238"/>
    </font>
    <font>
      <b/>
      <sz val="11"/>
      <name val="Arial"/>
      <family val="2"/>
      <charset val="238"/>
    </font>
    <font>
      <b/>
      <sz val="14"/>
      <color indexed="16"/>
      <name val="Arial"/>
      <family val="2"/>
      <charset val="238"/>
    </font>
    <font>
      <sz val="10"/>
      <color indexed="16"/>
      <name val="Arial"/>
      <family val="2"/>
      <charset val="238"/>
    </font>
    <font>
      <b/>
      <sz val="12"/>
      <color indexed="12"/>
      <name val="Arial"/>
      <family val="2"/>
      <charset val="238"/>
    </font>
    <font>
      <b/>
      <sz val="11"/>
      <color indexed="10"/>
      <name val="Arial CE"/>
      <family val="2"/>
      <charset val="238"/>
    </font>
    <font>
      <sz val="10"/>
      <name val="Arial CE"/>
      <family val="2"/>
      <charset val="238"/>
    </font>
    <font>
      <sz val="12"/>
      <name val="Calibri"/>
      <family val="2"/>
      <charset val="238"/>
    </font>
    <font>
      <b/>
      <sz val="12"/>
      <color rgb="FF800000"/>
      <name val="Times New Roman CE"/>
      <charset val="238"/>
    </font>
    <font>
      <vertAlign val="subscript"/>
      <sz val="12"/>
      <name val="Times New Roman CE"/>
      <charset val="238"/>
    </font>
    <font>
      <b/>
      <sz val="12"/>
      <color indexed="51"/>
      <name val="Times New Roman CE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2"/>
      <color rgb="FF800000"/>
      <name val="Times New Roman"/>
      <family val="1"/>
      <charset val="238"/>
    </font>
    <font>
      <b/>
      <sz val="14"/>
      <color rgb="FFFF0000"/>
      <name val="Times New Roman CE"/>
      <family val="1"/>
      <charset val="238"/>
    </font>
    <font>
      <u/>
      <sz val="12"/>
      <color indexed="12"/>
      <name val="Times New Roman CE"/>
      <charset val="238"/>
    </font>
    <font>
      <b/>
      <sz val="10"/>
      <name val="Arial CE"/>
      <family val="2"/>
      <charset val="238"/>
    </font>
    <font>
      <b/>
      <sz val="10"/>
      <color indexed="10"/>
      <name val="Arial CE"/>
      <family val="2"/>
      <charset val="238"/>
    </font>
    <font>
      <sz val="11"/>
      <color indexed="18"/>
      <name val="Times New Roman CE"/>
      <charset val="238"/>
    </font>
    <font>
      <i/>
      <sz val="12"/>
      <color rgb="FF000000"/>
      <name val="Times New Roman CE"/>
      <charset val="238"/>
    </font>
  </fonts>
  <fills count="9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EAF1DD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6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43" fillId="0" borderId="0"/>
    <xf numFmtId="9" fontId="3" fillId="0" borderId="0" applyFont="0" applyFill="0" applyBorder="0" applyAlignment="0" applyProtection="0"/>
    <xf numFmtId="0" fontId="43" fillId="0" borderId="0"/>
    <xf numFmtId="0" fontId="62" fillId="0" borderId="0" applyNumberFormat="0" applyFill="0" applyBorder="0" applyAlignment="0" applyProtection="0">
      <alignment vertical="top"/>
      <protection locked="0"/>
    </xf>
  </cellStyleXfs>
  <cellXfs count="606">
    <xf numFmtId="0" fontId="0" fillId="0" borderId="0" xfId="0"/>
    <xf numFmtId="0" fontId="1" fillId="0" borderId="0" xfId="0" applyFont="1"/>
    <xf numFmtId="0" fontId="6" fillId="0" borderId="0" xfId="0" applyFont="1"/>
    <xf numFmtId="0" fontId="7" fillId="0" borderId="0" xfId="0" applyFont="1"/>
    <xf numFmtId="0" fontId="4" fillId="0" borderId="0" xfId="0" applyFont="1"/>
    <xf numFmtId="0" fontId="9" fillId="0" borderId="2" xfId="0" applyFont="1" applyBorder="1"/>
    <xf numFmtId="0" fontId="11" fillId="0" borderId="2" xfId="0" applyFont="1" applyBorder="1"/>
    <xf numFmtId="0" fontId="9" fillId="0" borderId="3" xfId="0" applyFont="1" applyBorder="1"/>
    <xf numFmtId="0" fontId="13" fillId="0" borderId="3" xfId="0" applyFont="1" applyBorder="1"/>
    <xf numFmtId="0" fontId="13" fillId="0" borderId="4" xfId="0" applyFont="1" applyBorder="1"/>
    <xf numFmtId="0" fontId="15" fillId="0" borderId="0" xfId="0" applyFont="1"/>
    <xf numFmtId="0" fontId="16" fillId="0" borderId="2" xfId="0" applyFont="1" applyBorder="1"/>
    <xf numFmtId="0" fontId="11" fillId="0" borderId="3" xfId="0" applyFont="1" applyBorder="1"/>
    <xf numFmtId="0" fontId="16" fillId="0" borderId="5" xfId="0" applyFont="1" applyBorder="1"/>
    <xf numFmtId="0" fontId="11" fillId="0" borderId="4" xfId="0" applyFont="1" applyBorder="1"/>
    <xf numFmtId="0" fontId="13" fillId="0" borderId="1" xfId="0" applyFont="1" applyBorder="1"/>
    <xf numFmtId="0" fontId="9" fillId="0" borderId="4" xfId="0" applyFont="1" applyBorder="1"/>
    <xf numFmtId="164" fontId="14" fillId="0" borderId="6" xfId="0" applyNumberFormat="1" applyFont="1" applyBorder="1"/>
    <xf numFmtId="164" fontId="14" fillId="0" borderId="7" xfId="0" applyNumberFormat="1" applyFont="1" applyBorder="1"/>
    <xf numFmtId="164" fontId="10" fillId="0" borderId="6" xfId="0" applyNumberFormat="1" applyFont="1" applyBorder="1"/>
    <xf numFmtId="164" fontId="10" fillId="0" borderId="7" xfId="0" applyNumberFormat="1" applyFont="1" applyBorder="1"/>
    <xf numFmtId="164" fontId="12" fillId="0" borderId="6" xfId="0" applyNumberFormat="1" applyFont="1" applyBorder="1"/>
    <xf numFmtId="164" fontId="12" fillId="0" borderId="7" xfId="0" applyNumberFormat="1" applyFont="1" applyBorder="1"/>
    <xf numFmtId="164" fontId="12" fillId="0" borderId="8" xfId="0" applyNumberFormat="1" applyFont="1" applyBorder="1"/>
    <xf numFmtId="164" fontId="12" fillId="0" borderId="9" xfId="0" applyNumberFormat="1" applyFont="1" applyBorder="1"/>
    <xf numFmtId="164" fontId="14" fillId="0" borderId="10" xfId="0" applyNumberFormat="1" applyFont="1" applyBorder="1"/>
    <xf numFmtId="164" fontId="14" fillId="0" borderId="11" xfId="0" applyNumberFormat="1" applyFont="1" applyBorder="1"/>
    <xf numFmtId="164" fontId="12" fillId="0" borderId="12" xfId="0" applyNumberFormat="1" applyFont="1" applyBorder="1"/>
    <xf numFmtId="164" fontId="12" fillId="0" borderId="13" xfId="0" applyNumberFormat="1" applyFont="1" applyBorder="1"/>
    <xf numFmtId="164" fontId="14" fillId="0" borderId="14" xfId="0" applyNumberFormat="1" applyFont="1" applyBorder="1"/>
    <xf numFmtId="164" fontId="14" fillId="0" borderId="15" xfId="0" applyNumberFormat="1" applyFont="1" applyBorder="1"/>
    <xf numFmtId="164" fontId="10" fillId="0" borderId="8" xfId="0" applyNumberFormat="1" applyFont="1" applyBorder="1"/>
    <xf numFmtId="164" fontId="10" fillId="0" borderId="9" xfId="0" applyNumberFormat="1" applyFont="1" applyBorder="1"/>
    <xf numFmtId="164" fontId="10" fillId="0" borderId="12" xfId="0" applyNumberFormat="1" applyFont="1" applyBorder="1"/>
    <xf numFmtId="164" fontId="10" fillId="0" borderId="13" xfId="0" applyNumberFormat="1" applyFont="1" applyBorder="1"/>
    <xf numFmtId="164" fontId="14" fillId="0" borderId="8" xfId="0" applyNumberFormat="1" applyFont="1" applyBorder="1"/>
    <xf numFmtId="164" fontId="14" fillId="0" borderId="9" xfId="0" applyNumberFormat="1" applyFont="1" applyBorder="1"/>
    <xf numFmtId="164" fontId="14" fillId="0" borderId="12" xfId="0" applyNumberFormat="1" applyFont="1" applyBorder="1"/>
    <xf numFmtId="164" fontId="14" fillId="0" borderId="13" xfId="0" applyNumberFormat="1" applyFont="1" applyBorder="1"/>
    <xf numFmtId="164" fontId="18" fillId="0" borderId="0" xfId="0" applyNumberFormat="1" applyFont="1"/>
    <xf numFmtId="0" fontId="0" fillId="0" borderId="16" xfId="0" applyBorder="1"/>
    <xf numFmtId="164" fontId="0" fillId="0" borderId="16" xfId="0" applyNumberFormat="1" applyBorder="1"/>
    <xf numFmtId="164" fontId="0" fillId="0" borderId="16" xfId="0" applyNumberFormat="1" applyBorder="1" applyAlignment="1">
      <alignment vertical="center"/>
    </xf>
    <xf numFmtId="164" fontId="0" fillId="0" borderId="17" xfId="0" applyNumberForma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5" xfId="0" applyBorder="1" applyAlignment="1">
      <alignment vertical="center"/>
    </xf>
    <xf numFmtId="164" fontId="0" fillId="0" borderId="21" xfId="0" applyNumberFormat="1" applyBorder="1" applyAlignment="1">
      <alignment vertical="center"/>
    </xf>
    <xf numFmtId="164" fontId="0" fillId="0" borderId="22" xfId="0" applyNumberFormat="1" applyBorder="1" applyAlignment="1">
      <alignment vertical="center"/>
    </xf>
    <xf numFmtId="0" fontId="0" fillId="0" borderId="3" xfId="0" applyBorder="1" applyAlignment="1">
      <alignment vertical="center"/>
    </xf>
    <xf numFmtId="164" fontId="0" fillId="0" borderId="23" xfId="0" applyNumberFormat="1" applyBorder="1" applyAlignment="1">
      <alignment vertical="center"/>
    </xf>
    <xf numFmtId="164" fontId="0" fillId="0" borderId="24" xfId="0" applyNumberForma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164" fontId="1" fillId="0" borderId="18" xfId="0" applyNumberFormat="1" applyFont="1" applyBorder="1" applyAlignment="1">
      <alignment vertical="center"/>
    </xf>
    <xf numFmtId="164" fontId="1" fillId="0" borderId="19" xfId="0" applyNumberFormat="1" applyFont="1" applyBorder="1" applyAlignment="1">
      <alignment vertical="center"/>
    </xf>
    <xf numFmtId="164" fontId="1" fillId="0" borderId="25" xfId="0" applyNumberFormat="1" applyFont="1" applyBorder="1" applyAlignment="1">
      <alignment vertical="center"/>
    </xf>
    <xf numFmtId="164" fontId="1" fillId="0" borderId="26" xfId="0" applyNumberFormat="1" applyFont="1" applyBorder="1" applyAlignment="1">
      <alignment vertical="center"/>
    </xf>
    <xf numFmtId="0" fontId="1" fillId="0" borderId="27" xfId="0" applyFont="1" applyBorder="1" applyAlignment="1">
      <alignment vertical="center"/>
    </xf>
    <xf numFmtId="0" fontId="20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1" fillId="0" borderId="0" xfId="0" applyFont="1"/>
    <xf numFmtId="165" fontId="21" fillId="0" borderId="0" xfId="0" applyNumberFormat="1" applyFont="1"/>
    <xf numFmtId="0" fontId="3" fillId="0" borderId="0" xfId="0" applyFont="1"/>
    <xf numFmtId="0" fontId="0" fillId="0" borderId="28" xfId="0" applyBorder="1"/>
    <xf numFmtId="3" fontId="1" fillId="0" borderId="14" xfId="0" applyNumberFormat="1" applyFont="1" applyBorder="1"/>
    <xf numFmtId="0" fontId="0" fillId="0" borderId="7" xfId="0" applyBorder="1"/>
    <xf numFmtId="0" fontId="0" fillId="0" borderId="32" xfId="0" applyBorder="1"/>
    <xf numFmtId="0" fontId="0" fillId="0" borderId="33" xfId="0" applyBorder="1"/>
    <xf numFmtId="0" fontId="0" fillId="0" borderId="9" xfId="0" applyBorder="1"/>
    <xf numFmtId="3" fontId="0" fillId="0" borderId="8" xfId="0" applyNumberFormat="1" applyBorder="1"/>
    <xf numFmtId="3" fontId="0" fillId="0" borderId="6" xfId="0" applyNumberFormat="1" applyBorder="1"/>
    <xf numFmtId="0" fontId="1" fillId="0" borderId="30" xfId="0" applyFont="1" applyBorder="1"/>
    <xf numFmtId="0" fontId="1" fillId="0" borderId="31" xfId="0" applyFont="1" applyBorder="1"/>
    <xf numFmtId="0" fontId="1" fillId="0" borderId="15" xfId="0" applyFont="1" applyBorder="1"/>
    <xf numFmtId="0" fontId="0" fillId="0" borderId="34" xfId="0" applyBorder="1"/>
    <xf numFmtId="166" fontId="0" fillId="0" borderId="6" xfId="2" applyNumberFormat="1" applyFont="1" applyBorder="1"/>
    <xf numFmtId="166" fontId="0" fillId="0" borderId="8" xfId="2" applyNumberFormat="1" applyFont="1" applyBorder="1"/>
    <xf numFmtId="0" fontId="0" fillId="0" borderId="36" xfId="0" applyBorder="1"/>
    <xf numFmtId="0" fontId="0" fillId="0" borderId="23" xfId="0" applyBorder="1"/>
    <xf numFmtId="164" fontId="0" fillId="0" borderId="6" xfId="0" applyNumberFormat="1" applyBorder="1"/>
    <xf numFmtId="164" fontId="1" fillId="0" borderId="8" xfId="0" applyNumberFormat="1" applyFont="1" applyBorder="1"/>
    <xf numFmtId="164" fontId="0" fillId="0" borderId="8" xfId="0" applyNumberFormat="1" applyBorder="1"/>
    <xf numFmtId="164" fontId="1" fillId="0" borderId="6" xfId="0" applyNumberFormat="1" applyFont="1" applyBorder="1"/>
    <xf numFmtId="164" fontId="1" fillId="0" borderId="23" xfId="0" applyNumberFormat="1" applyFont="1" applyBorder="1"/>
    <xf numFmtId="3" fontId="19" fillId="0" borderId="37" xfId="0" applyNumberFormat="1" applyFont="1" applyBorder="1" applyAlignment="1">
      <alignment vertical="center"/>
    </xf>
    <xf numFmtId="3" fontId="22" fillId="0" borderId="18" xfId="0" applyNumberFormat="1" applyFont="1" applyBorder="1"/>
    <xf numFmtId="3" fontId="19" fillId="0" borderId="21" xfId="0" applyNumberFormat="1" applyFont="1" applyBorder="1" applyAlignment="1">
      <alignment vertical="center"/>
    </xf>
    <xf numFmtId="0" fontId="0" fillId="0" borderId="38" xfId="0" applyBorder="1"/>
    <xf numFmtId="0" fontId="19" fillId="0" borderId="35" xfId="0" applyFont="1" applyBorder="1"/>
    <xf numFmtId="0" fontId="22" fillId="0" borderId="34" xfId="0" applyFont="1" applyBorder="1"/>
    <xf numFmtId="164" fontId="14" fillId="0" borderId="2" xfId="0" applyNumberFormat="1" applyFont="1" applyBorder="1"/>
    <xf numFmtId="164" fontId="10" fillId="0" borderId="2" xfId="0" applyNumberFormat="1" applyFont="1" applyBorder="1"/>
    <xf numFmtId="164" fontId="12" fillId="0" borderId="2" xfId="0" applyNumberFormat="1" applyFont="1" applyBorder="1"/>
    <xf numFmtId="164" fontId="12" fillId="0" borderId="3" xfId="0" applyNumberFormat="1" applyFont="1" applyBorder="1"/>
    <xf numFmtId="164" fontId="14" fillId="0" borderId="5" xfId="0" applyNumberFormat="1" applyFont="1" applyBorder="1"/>
    <xf numFmtId="164" fontId="12" fillId="0" borderId="4" xfId="0" applyNumberFormat="1" applyFont="1" applyBorder="1"/>
    <xf numFmtId="164" fontId="14" fillId="0" borderId="1" xfId="0" applyNumberFormat="1" applyFont="1" applyBorder="1"/>
    <xf numFmtId="164" fontId="10" fillId="0" borderId="3" xfId="0" applyNumberFormat="1" applyFont="1" applyBorder="1"/>
    <xf numFmtId="164" fontId="10" fillId="0" borderId="4" xfId="0" applyNumberFormat="1" applyFont="1" applyBorder="1"/>
    <xf numFmtId="164" fontId="14" fillId="0" borderId="3" xfId="0" applyNumberFormat="1" applyFont="1" applyBorder="1"/>
    <xf numFmtId="164" fontId="14" fillId="0" borderId="4" xfId="0" applyNumberFormat="1" applyFont="1" applyBorder="1"/>
    <xf numFmtId="169" fontId="0" fillId="0" borderId="8" xfId="0" applyNumberFormat="1" applyBorder="1"/>
    <xf numFmtId="164" fontId="0" fillId="0" borderId="40" xfId="0" applyNumberFormat="1" applyBorder="1"/>
    <xf numFmtId="0" fontId="1" fillId="0" borderId="36" xfId="0" applyFont="1" applyBorder="1"/>
    <xf numFmtId="0" fontId="15" fillId="0" borderId="36" xfId="0" applyFont="1" applyBorder="1"/>
    <xf numFmtId="164" fontId="15" fillId="0" borderId="6" xfId="0" applyNumberFormat="1" applyFont="1" applyBorder="1"/>
    <xf numFmtId="0" fontId="0" fillId="0" borderId="0" xfId="0" applyAlignment="1">
      <alignment horizontal="left"/>
    </xf>
    <xf numFmtId="0" fontId="0" fillId="0" borderId="35" xfId="0" applyBorder="1"/>
    <xf numFmtId="164" fontId="0" fillId="0" borderId="0" xfId="0" applyNumberFormat="1"/>
    <xf numFmtId="166" fontId="0" fillId="0" borderId="16" xfId="2" applyNumberFormat="1" applyFont="1" applyBorder="1"/>
    <xf numFmtId="165" fontId="0" fillId="0" borderId="0" xfId="0" applyNumberFormat="1"/>
    <xf numFmtId="164" fontId="0" fillId="0" borderId="17" xfId="0" applyNumberFormat="1" applyBorder="1"/>
    <xf numFmtId="164" fontId="0" fillId="0" borderId="25" xfId="0" applyNumberFormat="1" applyBorder="1"/>
    <xf numFmtId="164" fontId="0" fillId="0" borderId="26" xfId="0" applyNumberFormat="1" applyBorder="1"/>
    <xf numFmtId="164" fontId="0" fillId="0" borderId="41" xfId="0" applyNumberFormat="1" applyBorder="1"/>
    <xf numFmtId="164" fontId="0" fillId="0" borderId="42" xfId="0" applyNumberFormat="1" applyBorder="1"/>
    <xf numFmtId="0" fontId="0" fillId="0" borderId="43" xfId="0" applyBorder="1"/>
    <xf numFmtId="0" fontId="0" fillId="0" borderId="27" xfId="0" applyBorder="1"/>
    <xf numFmtId="0" fontId="0" fillId="0" borderId="6" xfId="0" applyBorder="1"/>
    <xf numFmtId="0" fontId="0" fillId="0" borderId="44" xfId="0" applyBorder="1"/>
    <xf numFmtId="0" fontId="0" fillId="0" borderId="45" xfId="0" applyBorder="1"/>
    <xf numFmtId="0" fontId="0" fillId="0" borderId="39" xfId="0" applyBorder="1"/>
    <xf numFmtId="164" fontId="18" fillId="0" borderId="33" xfId="0" applyNumberFormat="1" applyFont="1" applyBorder="1"/>
    <xf numFmtId="0" fontId="0" fillId="0" borderId="8" xfId="0" applyBorder="1"/>
    <xf numFmtId="164" fontId="0" fillId="0" borderId="36" xfId="0" applyNumberFormat="1" applyBorder="1"/>
    <xf numFmtId="0" fontId="25" fillId="0" borderId="0" xfId="0" applyFont="1" applyAlignment="1">
      <alignment horizontal="left"/>
    </xf>
    <xf numFmtId="3" fontId="6" fillId="0" borderId="33" xfId="0" applyNumberFormat="1" applyFont="1" applyBorder="1" applyAlignment="1">
      <alignment horizontal="centerContinuous"/>
    </xf>
    <xf numFmtId="0" fontId="1" fillId="0" borderId="23" xfId="0" applyFont="1" applyBorder="1"/>
    <xf numFmtId="3" fontId="1" fillId="0" borderId="8" xfId="0" applyNumberFormat="1" applyFont="1" applyBorder="1"/>
    <xf numFmtId="169" fontId="0" fillId="0" borderId="0" xfId="0" applyNumberFormat="1"/>
    <xf numFmtId="0" fontId="26" fillId="0" borderId="0" xfId="0" applyFont="1"/>
    <xf numFmtId="3" fontId="1" fillId="0" borderId="23" xfId="0" applyNumberFormat="1" applyFont="1" applyBorder="1"/>
    <xf numFmtId="166" fontId="1" fillId="0" borderId="8" xfId="2" applyNumberFormat="1" applyFont="1" applyFill="1" applyBorder="1"/>
    <xf numFmtId="164" fontId="0" fillId="0" borderId="23" xfId="0" applyNumberFormat="1" applyBorder="1"/>
    <xf numFmtId="0" fontId="27" fillId="0" borderId="0" xfId="0" applyFont="1"/>
    <xf numFmtId="0" fontId="19" fillId="0" borderId="34" xfId="0" applyFont="1" applyBorder="1"/>
    <xf numFmtId="164" fontId="0" fillId="0" borderId="39" xfId="0" applyNumberFormat="1" applyBorder="1"/>
    <xf numFmtId="0" fontId="28" fillId="0" borderId="1" xfId="0" applyFont="1" applyBorder="1"/>
    <xf numFmtId="9" fontId="28" fillId="0" borderId="1" xfId="0" applyNumberFormat="1" applyFont="1" applyBorder="1" applyAlignment="1">
      <alignment horizontal="center"/>
    </xf>
    <xf numFmtId="9" fontId="28" fillId="0" borderId="14" xfId="0" applyNumberFormat="1" applyFont="1" applyBorder="1" applyAlignment="1">
      <alignment horizontal="center"/>
    </xf>
    <xf numFmtId="9" fontId="28" fillId="0" borderId="15" xfId="0" applyNumberFormat="1" applyFont="1" applyBorder="1" applyAlignment="1">
      <alignment horizontal="center"/>
    </xf>
    <xf numFmtId="166" fontId="3" fillId="0" borderId="8" xfId="2" applyNumberFormat="1" applyBorder="1"/>
    <xf numFmtId="0" fontId="22" fillId="0" borderId="0" xfId="0" applyFont="1"/>
    <xf numFmtId="3" fontId="22" fillId="0" borderId="0" xfId="0" applyNumberFormat="1" applyFont="1"/>
    <xf numFmtId="0" fontId="29" fillId="0" borderId="0" xfId="0" applyFont="1"/>
    <xf numFmtId="3" fontId="29" fillId="0" borderId="0" xfId="0" applyNumberFormat="1" applyFont="1"/>
    <xf numFmtId="164" fontId="30" fillId="0" borderId="3" xfId="0" applyNumberFormat="1" applyFont="1" applyBorder="1"/>
    <xf numFmtId="164" fontId="30" fillId="0" borderId="9" xfId="0" applyNumberFormat="1" applyFont="1" applyBorder="1"/>
    <xf numFmtId="0" fontId="31" fillId="0" borderId="3" xfId="0" applyFont="1" applyBorder="1"/>
    <xf numFmtId="164" fontId="32" fillId="0" borderId="8" xfId="0" applyNumberFormat="1" applyFont="1" applyBorder="1"/>
    <xf numFmtId="164" fontId="33" fillId="0" borderId="9" xfId="0" applyNumberFormat="1" applyFont="1" applyBorder="1"/>
    <xf numFmtId="164" fontId="32" fillId="0" borderId="9" xfId="0" applyNumberFormat="1" applyFont="1" applyBorder="1"/>
    <xf numFmtId="3" fontId="19" fillId="0" borderId="36" xfId="0" applyNumberFormat="1" applyFont="1" applyBorder="1" applyAlignment="1">
      <alignment vertical="center"/>
    </xf>
    <xf numFmtId="3" fontId="19" fillId="0" borderId="22" xfId="0" applyNumberFormat="1" applyFont="1" applyBorder="1" applyAlignment="1">
      <alignment vertical="center"/>
    </xf>
    <xf numFmtId="3" fontId="19" fillId="0" borderId="16" xfId="0" applyNumberFormat="1" applyFont="1" applyBorder="1" applyAlignment="1">
      <alignment vertical="center"/>
    </xf>
    <xf numFmtId="3" fontId="19" fillId="0" borderId="17" xfId="0" applyNumberFormat="1" applyFont="1" applyBorder="1" applyAlignment="1">
      <alignment vertical="center"/>
    </xf>
    <xf numFmtId="3" fontId="19" fillId="0" borderId="41" xfId="0" applyNumberFormat="1" applyFont="1" applyBorder="1" applyAlignment="1">
      <alignment vertical="center"/>
    </xf>
    <xf numFmtId="0" fontId="1" fillId="0" borderId="16" xfId="0" applyFont="1" applyBorder="1"/>
    <xf numFmtId="166" fontId="1" fillId="0" borderId="16" xfId="2" applyNumberFormat="1" applyFont="1" applyBorder="1"/>
    <xf numFmtId="0" fontId="1" fillId="0" borderId="0" xfId="0" applyFont="1" applyAlignment="1">
      <alignment horizontal="left"/>
    </xf>
    <xf numFmtId="166" fontId="3" fillId="0" borderId="16" xfId="2" applyNumberFormat="1" applyBorder="1"/>
    <xf numFmtId="166" fontId="3" fillId="0" borderId="6" xfId="2" applyNumberFormat="1" applyBorder="1"/>
    <xf numFmtId="166" fontId="3" fillId="0" borderId="39" xfId="2" applyNumberFormat="1" applyBorder="1"/>
    <xf numFmtId="10" fontId="1" fillId="0" borderId="40" xfId="2" applyNumberFormat="1" applyFont="1" applyBorder="1"/>
    <xf numFmtId="9" fontId="4" fillId="0" borderId="16" xfId="2" applyFont="1" applyBorder="1"/>
    <xf numFmtId="0" fontId="27" fillId="0" borderId="46" xfId="0" applyFont="1" applyBorder="1"/>
    <xf numFmtId="164" fontId="0" fillId="0" borderId="38" xfId="0" applyNumberFormat="1" applyBorder="1"/>
    <xf numFmtId="164" fontId="1" fillId="0" borderId="36" xfId="0" applyNumberFormat="1" applyFont="1" applyBorder="1"/>
    <xf numFmtId="10" fontId="0" fillId="0" borderId="36" xfId="2" applyNumberFormat="1" applyFont="1" applyBorder="1"/>
    <xf numFmtId="0" fontId="0" fillId="0" borderId="46" xfId="0" applyBorder="1"/>
    <xf numFmtId="10" fontId="3" fillId="0" borderId="8" xfId="2" applyNumberFormat="1" applyBorder="1"/>
    <xf numFmtId="10" fontId="0" fillId="0" borderId="8" xfId="2" applyNumberFormat="1" applyFont="1" applyBorder="1"/>
    <xf numFmtId="0" fontId="28" fillId="0" borderId="36" xfId="0" applyFont="1" applyBorder="1"/>
    <xf numFmtId="164" fontId="28" fillId="0" borderId="6" xfId="0" applyNumberFormat="1" applyFont="1" applyBorder="1"/>
    <xf numFmtId="164" fontId="0" fillId="0" borderId="40" xfId="0" applyNumberFormat="1" applyBorder="1" applyAlignment="1">
      <alignment horizontal="right"/>
    </xf>
    <xf numFmtId="10" fontId="3" fillId="0" borderId="36" xfId="2" applyNumberFormat="1" applyBorder="1"/>
    <xf numFmtId="0" fontId="19" fillId="0" borderId="16" xfId="0" applyFont="1" applyBorder="1"/>
    <xf numFmtId="3" fontId="19" fillId="0" borderId="42" xfId="0" applyNumberFormat="1" applyFont="1" applyBorder="1" applyAlignment="1">
      <alignment vertical="center"/>
    </xf>
    <xf numFmtId="164" fontId="0" fillId="0" borderId="41" xfId="0" applyNumberFormat="1" applyBorder="1" applyAlignment="1">
      <alignment vertical="center"/>
    </xf>
    <xf numFmtId="164" fontId="0" fillId="0" borderId="42" xfId="0" applyNumberFormat="1" applyBorder="1" applyAlignment="1">
      <alignment vertical="center"/>
    </xf>
    <xf numFmtId="164" fontId="0" fillId="0" borderId="25" xfId="0" applyNumberFormat="1" applyBorder="1" applyAlignment="1">
      <alignment vertical="center"/>
    </xf>
    <xf numFmtId="164" fontId="0" fillId="0" borderId="26" xfId="0" applyNumberFormat="1" applyBorder="1" applyAlignment="1">
      <alignment vertical="center"/>
    </xf>
    <xf numFmtId="3" fontId="4" fillId="0" borderId="21" xfId="0" applyNumberFormat="1" applyFont="1" applyBorder="1" applyAlignment="1">
      <alignment vertical="center"/>
    </xf>
    <xf numFmtId="3" fontId="4" fillId="0" borderId="22" xfId="0" applyNumberFormat="1" applyFont="1" applyBorder="1" applyAlignment="1">
      <alignment vertical="center"/>
    </xf>
    <xf numFmtId="0" fontId="4" fillId="0" borderId="8" xfId="0" applyFont="1" applyBorder="1"/>
    <xf numFmtId="0" fontId="4" fillId="0" borderId="9" xfId="0" applyFont="1" applyBorder="1"/>
    <xf numFmtId="3" fontId="4" fillId="0" borderId="16" xfId="0" applyNumberFormat="1" applyFont="1" applyBorder="1" applyAlignment="1">
      <alignment vertical="center"/>
    </xf>
    <xf numFmtId="3" fontId="4" fillId="0" borderId="37" xfId="0" applyNumberFormat="1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33" xfId="0" applyFont="1" applyBorder="1" applyAlignment="1">
      <alignment vertical="center"/>
    </xf>
    <xf numFmtId="3" fontId="4" fillId="0" borderId="41" xfId="0" applyNumberFormat="1" applyFont="1" applyBorder="1" applyAlignment="1">
      <alignment vertical="center"/>
    </xf>
    <xf numFmtId="3" fontId="4" fillId="0" borderId="42" xfId="0" applyNumberFormat="1" applyFont="1" applyBorder="1" applyAlignment="1">
      <alignment vertical="center"/>
    </xf>
    <xf numFmtId="3" fontId="4" fillId="0" borderId="17" xfId="0" applyNumberFormat="1" applyFont="1" applyBorder="1" applyAlignment="1">
      <alignment vertical="center"/>
    </xf>
    <xf numFmtId="3" fontId="4" fillId="0" borderId="25" xfId="0" applyNumberFormat="1" applyFont="1" applyBorder="1" applyAlignment="1">
      <alignment vertical="center"/>
    </xf>
    <xf numFmtId="3" fontId="4" fillId="0" borderId="26" xfId="0" applyNumberFormat="1" applyFont="1" applyBorder="1" applyAlignment="1">
      <alignment vertical="center"/>
    </xf>
    <xf numFmtId="3" fontId="19" fillId="0" borderId="52" xfId="0" applyNumberFormat="1" applyFont="1" applyBorder="1" applyAlignment="1">
      <alignment vertical="center"/>
    </xf>
    <xf numFmtId="164" fontId="37" fillId="0" borderId="0" xfId="0" applyNumberFormat="1" applyFont="1"/>
    <xf numFmtId="0" fontId="37" fillId="0" borderId="0" xfId="0" applyFont="1"/>
    <xf numFmtId="167" fontId="0" fillId="0" borderId="0" xfId="0" applyNumberFormat="1"/>
    <xf numFmtId="168" fontId="0" fillId="0" borderId="0" xfId="0" applyNumberFormat="1"/>
    <xf numFmtId="171" fontId="0" fillId="0" borderId="0" xfId="0" applyNumberFormat="1"/>
    <xf numFmtId="0" fontId="38" fillId="0" borderId="16" xfId="0" applyFont="1" applyBorder="1"/>
    <xf numFmtId="0" fontId="19" fillId="0" borderId="23" xfId="0" applyFont="1" applyBorder="1"/>
    <xf numFmtId="0" fontId="19" fillId="0" borderId="38" xfId="0" applyFont="1" applyBorder="1"/>
    <xf numFmtId="164" fontId="3" fillId="0" borderId="6" xfId="0" applyNumberFormat="1" applyFont="1" applyBorder="1"/>
    <xf numFmtId="0" fontId="0" fillId="0" borderId="0" xfId="0" applyAlignment="1">
      <alignment horizontal="left" indent="1"/>
    </xf>
    <xf numFmtId="164" fontId="0" fillId="0" borderId="0" xfId="0" applyNumberFormat="1" applyAlignment="1">
      <alignment horizontal="left" indent="1"/>
    </xf>
    <xf numFmtId="171" fontId="0" fillId="0" borderId="0" xfId="0" applyNumberFormat="1" applyAlignment="1">
      <alignment horizontal="left" indent="1"/>
    </xf>
    <xf numFmtId="0" fontId="1" fillId="0" borderId="0" xfId="0" applyFont="1" applyAlignment="1">
      <alignment horizontal="left" indent="1"/>
    </xf>
    <xf numFmtId="164" fontId="24" fillId="0" borderId="0" xfId="0" applyNumberFormat="1" applyFont="1"/>
    <xf numFmtId="10" fontId="0" fillId="0" borderId="16" xfId="0" applyNumberFormat="1" applyBorder="1"/>
    <xf numFmtId="10" fontId="1" fillId="0" borderId="0" xfId="2" applyNumberFormat="1" applyFont="1" applyBorder="1"/>
    <xf numFmtId="0" fontId="3" fillId="0" borderId="16" xfId="0" applyFont="1" applyBorder="1"/>
    <xf numFmtId="0" fontId="39" fillId="0" borderId="0" xfId="0" applyFont="1" applyAlignment="1">
      <alignment horizontal="left" indent="1"/>
    </xf>
    <xf numFmtId="10" fontId="1" fillId="0" borderId="8" xfId="2" applyNumberFormat="1" applyFont="1" applyFill="1" applyBorder="1"/>
    <xf numFmtId="9" fontId="3" fillId="0" borderId="6" xfId="2" applyBorder="1"/>
    <xf numFmtId="0" fontId="40" fillId="0" borderId="0" xfId="0" applyFont="1"/>
    <xf numFmtId="164" fontId="1" fillId="0" borderId="0" xfId="0" applyNumberFormat="1" applyFont="1"/>
    <xf numFmtId="10" fontId="0" fillId="0" borderId="0" xfId="0" applyNumberFormat="1"/>
    <xf numFmtId="164" fontId="3" fillId="0" borderId="0" xfId="0" applyNumberFormat="1" applyFont="1"/>
    <xf numFmtId="1" fontId="0" fillId="0" borderId="0" xfId="0" applyNumberFormat="1"/>
    <xf numFmtId="1" fontId="1" fillId="0" borderId="0" xfId="0" applyNumberFormat="1" applyFont="1"/>
    <xf numFmtId="0" fontId="41" fillId="0" borderId="0" xfId="0" applyFont="1"/>
    <xf numFmtId="164" fontId="0" fillId="0" borderId="44" xfId="0" applyNumberFormat="1" applyBorder="1"/>
    <xf numFmtId="3" fontId="3" fillId="0" borderId="23" xfId="0" applyNumberFormat="1" applyFont="1" applyBorder="1"/>
    <xf numFmtId="170" fontId="0" fillId="0" borderId="0" xfId="0" applyNumberFormat="1"/>
    <xf numFmtId="164" fontId="1" fillId="0" borderId="38" xfId="0" applyNumberFormat="1" applyFont="1" applyBorder="1"/>
    <xf numFmtId="0" fontId="42" fillId="0" borderId="0" xfId="0" applyFont="1"/>
    <xf numFmtId="3" fontId="45" fillId="0" borderId="0" xfId="0" applyNumberFormat="1" applyFont="1"/>
    <xf numFmtId="0" fontId="24" fillId="0" borderId="0" xfId="0" applyFont="1"/>
    <xf numFmtId="0" fontId="43" fillId="0" borderId="0" xfId="3"/>
    <xf numFmtId="0" fontId="50" fillId="0" borderId="0" xfId="3" applyFont="1"/>
    <xf numFmtId="0" fontId="44" fillId="0" borderId="0" xfId="3" applyFont="1"/>
    <xf numFmtId="0" fontId="52" fillId="0" borderId="0" xfId="0" applyFont="1"/>
    <xf numFmtId="0" fontId="44" fillId="0" borderId="0" xfId="0" applyFont="1"/>
    <xf numFmtId="0" fontId="43" fillId="0" borderId="0" xfId="0" applyFont="1"/>
    <xf numFmtId="0" fontId="53" fillId="0" borderId="0" xfId="0" applyFont="1"/>
    <xf numFmtId="0" fontId="8" fillId="2" borderId="1" xfId="0" applyFont="1" applyFill="1" applyBorder="1" applyAlignment="1">
      <alignment horizontal="left"/>
    </xf>
    <xf numFmtId="0" fontId="23" fillId="3" borderId="1" xfId="0" applyFont="1" applyFill="1" applyBorder="1" applyAlignment="1">
      <alignment horizontal="center"/>
    </xf>
    <xf numFmtId="0" fontId="8" fillId="2" borderId="29" xfId="0" applyFont="1" applyFill="1" applyBorder="1" applyAlignment="1">
      <alignment horizontal="center"/>
    </xf>
    <xf numFmtId="0" fontId="8" fillId="2" borderId="18" xfId="0" applyFont="1" applyFill="1" applyBorder="1" applyAlignment="1">
      <alignment horizontal="center"/>
    </xf>
    <xf numFmtId="0" fontId="8" fillId="2" borderId="19" xfId="0" applyFont="1" applyFill="1" applyBorder="1" applyAlignment="1">
      <alignment horizontal="center"/>
    </xf>
    <xf numFmtId="164" fontId="12" fillId="4" borderId="2" xfId="0" applyNumberFormat="1" applyFont="1" applyFill="1" applyBorder="1"/>
    <xf numFmtId="164" fontId="12" fillId="4" borderId="6" xfId="0" applyNumberFormat="1" applyFont="1" applyFill="1" applyBorder="1"/>
    <xf numFmtId="164" fontId="12" fillId="4" borderId="7" xfId="0" applyNumberFormat="1" applyFont="1" applyFill="1" applyBorder="1"/>
    <xf numFmtId="164" fontId="12" fillId="4" borderId="3" xfId="0" applyNumberFormat="1" applyFont="1" applyFill="1" applyBorder="1"/>
    <xf numFmtId="164" fontId="12" fillId="4" borderId="8" xfId="0" applyNumberFormat="1" applyFont="1" applyFill="1" applyBorder="1"/>
    <xf numFmtId="164" fontId="12" fillId="4" borderId="9" xfId="0" applyNumberFormat="1" applyFont="1" applyFill="1" applyBorder="1"/>
    <xf numFmtId="164" fontId="12" fillId="4" borderId="4" xfId="0" applyNumberFormat="1" applyFont="1" applyFill="1" applyBorder="1"/>
    <xf numFmtId="164" fontId="12" fillId="4" borderId="12" xfId="0" applyNumberFormat="1" applyFont="1" applyFill="1" applyBorder="1"/>
    <xf numFmtId="164" fontId="12" fillId="4" borderId="13" xfId="0" applyNumberFormat="1" applyFont="1" applyFill="1" applyBorder="1"/>
    <xf numFmtId="164" fontId="10" fillId="4" borderId="3" xfId="0" applyNumberFormat="1" applyFont="1" applyFill="1" applyBorder="1"/>
    <xf numFmtId="164" fontId="10" fillId="4" borderId="8" xfId="0" applyNumberFormat="1" applyFont="1" applyFill="1" applyBorder="1"/>
    <xf numFmtId="164" fontId="10" fillId="4" borderId="9" xfId="0" applyNumberFormat="1" applyFont="1" applyFill="1" applyBorder="1"/>
    <xf numFmtId="164" fontId="10" fillId="4" borderId="4" xfId="0" applyNumberFormat="1" applyFont="1" applyFill="1" applyBorder="1"/>
    <xf numFmtId="164" fontId="10" fillId="4" borderId="12" xfId="0" applyNumberFormat="1" applyFont="1" applyFill="1" applyBorder="1"/>
    <xf numFmtId="164" fontId="10" fillId="4" borderId="13" xfId="0" applyNumberFormat="1" applyFont="1" applyFill="1" applyBorder="1"/>
    <xf numFmtId="9" fontId="28" fillId="4" borderId="1" xfId="0" applyNumberFormat="1" applyFont="1" applyFill="1" applyBorder="1" applyAlignment="1">
      <alignment horizontal="center"/>
    </xf>
    <xf numFmtId="9" fontId="28" fillId="4" borderId="14" xfId="0" applyNumberFormat="1" applyFont="1" applyFill="1" applyBorder="1" applyAlignment="1">
      <alignment horizontal="center"/>
    </xf>
    <xf numFmtId="9" fontId="28" fillId="4" borderId="15" xfId="0" applyNumberFormat="1" applyFont="1" applyFill="1" applyBorder="1" applyAlignment="1">
      <alignment horizontal="center"/>
    </xf>
    <xf numFmtId="164" fontId="10" fillId="4" borderId="2" xfId="0" applyNumberFormat="1" applyFont="1" applyFill="1" applyBorder="1"/>
    <xf numFmtId="164" fontId="10" fillId="4" borderId="6" xfId="0" applyNumberFormat="1" applyFont="1" applyFill="1" applyBorder="1"/>
    <xf numFmtId="164" fontId="10" fillId="4" borderId="7" xfId="0" applyNumberFormat="1" applyFont="1" applyFill="1" applyBorder="1"/>
    <xf numFmtId="165" fontId="21" fillId="4" borderId="0" xfId="0" applyNumberFormat="1" applyFont="1" applyFill="1"/>
    <xf numFmtId="0" fontId="0" fillId="5" borderId="30" xfId="0" applyFill="1" applyBorder="1"/>
    <xf numFmtId="0" fontId="8" fillId="5" borderId="1" xfId="0" applyFont="1" applyFill="1" applyBorder="1" applyAlignment="1">
      <alignment horizontal="left"/>
    </xf>
    <xf numFmtId="0" fontId="8" fillId="2" borderId="14" xfId="0" applyFont="1" applyFill="1" applyBorder="1" applyAlignment="1">
      <alignment horizontal="center"/>
    </xf>
    <xf numFmtId="0" fontId="19" fillId="0" borderId="43" xfId="0" applyFont="1" applyBorder="1" applyAlignment="1">
      <alignment wrapText="1"/>
    </xf>
    <xf numFmtId="3" fontId="19" fillId="0" borderId="43" xfId="0" applyNumberFormat="1" applyFont="1" applyBorder="1" applyAlignment="1">
      <alignment vertical="center"/>
    </xf>
    <xf numFmtId="3" fontId="19" fillId="0" borderId="47" xfId="0" applyNumberFormat="1" applyFont="1" applyBorder="1" applyAlignment="1">
      <alignment vertical="center"/>
    </xf>
    <xf numFmtId="0" fontId="19" fillId="0" borderId="43" xfId="0" applyFont="1" applyBorder="1" applyAlignment="1">
      <alignment vertical="center"/>
    </xf>
    <xf numFmtId="0" fontId="19" fillId="0" borderId="2" xfId="0" applyFont="1" applyBorder="1" applyAlignment="1">
      <alignment wrapText="1"/>
    </xf>
    <xf numFmtId="3" fontId="19" fillId="0" borderId="2" xfId="0" applyNumberFormat="1" applyFont="1" applyBorder="1" applyAlignment="1">
      <alignment vertical="center"/>
    </xf>
    <xf numFmtId="3" fontId="19" fillId="0" borderId="6" xfId="0" applyNumberFormat="1" applyFont="1" applyBorder="1" applyAlignment="1">
      <alignment vertical="center"/>
    </xf>
    <xf numFmtId="0" fontId="19" fillId="0" borderId="4" xfId="0" applyFont="1" applyBorder="1" applyAlignment="1">
      <alignment wrapText="1"/>
    </xf>
    <xf numFmtId="3" fontId="19" fillId="0" borderId="4" xfId="0" applyNumberFormat="1" applyFont="1" applyBorder="1" applyAlignment="1">
      <alignment vertical="center"/>
    </xf>
    <xf numFmtId="3" fontId="19" fillId="0" borderId="12" xfId="0" applyNumberFormat="1" applyFont="1" applyBorder="1" applyAlignment="1">
      <alignment vertical="center"/>
    </xf>
    <xf numFmtId="0" fontId="22" fillId="0" borderId="1" xfId="0" applyFont="1" applyBorder="1"/>
    <xf numFmtId="3" fontId="22" fillId="0" borderId="1" xfId="0" applyNumberFormat="1" applyFont="1" applyBorder="1"/>
    <xf numFmtId="3" fontId="22" fillId="0" borderId="14" xfId="0" applyNumberFormat="1" applyFont="1" applyBorder="1"/>
    <xf numFmtId="0" fontId="0" fillId="5" borderId="31" xfId="0" applyFill="1" applyBorder="1"/>
    <xf numFmtId="0" fontId="0" fillId="5" borderId="15" xfId="0" applyFill="1" applyBorder="1"/>
    <xf numFmtId="3" fontId="0" fillId="0" borderId="43" xfId="0" applyNumberFormat="1" applyBorder="1"/>
    <xf numFmtId="3" fontId="0" fillId="0" borderId="2" xfId="0" applyNumberFormat="1" applyBorder="1"/>
    <xf numFmtId="3" fontId="1" fillId="0" borderId="1" xfId="0" applyNumberFormat="1" applyFont="1" applyBorder="1"/>
    <xf numFmtId="0" fontId="0" fillId="5" borderId="16" xfId="0" applyFill="1" applyBorder="1"/>
    <xf numFmtId="0" fontId="6" fillId="0" borderId="33" xfId="0" applyFont="1" applyBorder="1" applyAlignment="1">
      <alignment horizontal="left"/>
    </xf>
    <xf numFmtId="9" fontId="1" fillId="4" borderId="0" xfId="0" applyNumberFormat="1" applyFont="1" applyFill="1"/>
    <xf numFmtId="0" fontId="17" fillId="5" borderId="40" xfId="0" applyFont="1" applyFill="1" applyBorder="1" applyAlignment="1">
      <alignment horizontal="center"/>
    </xf>
    <xf numFmtId="3" fontId="0" fillId="4" borderId="6" xfId="0" applyNumberFormat="1" applyFill="1" applyBorder="1"/>
    <xf numFmtId="3" fontId="0" fillId="4" borderId="8" xfId="0" applyNumberFormat="1" applyFill="1" applyBorder="1"/>
    <xf numFmtId="166" fontId="0" fillId="0" borderId="40" xfId="2" applyNumberFormat="1" applyFont="1" applyBorder="1"/>
    <xf numFmtId="0" fontId="4" fillId="0" borderId="44" xfId="0" applyFont="1" applyBorder="1"/>
    <xf numFmtId="0" fontId="4" fillId="0" borderId="34" xfId="0" applyFont="1" applyBorder="1"/>
    <xf numFmtId="0" fontId="4" fillId="0" borderId="35" xfId="0" applyFont="1" applyBorder="1"/>
    <xf numFmtId="9" fontId="4" fillId="4" borderId="38" xfId="2" applyFont="1" applyFill="1" applyBorder="1"/>
    <xf numFmtId="9" fontId="4" fillId="4" borderId="36" xfId="2" applyFont="1" applyFill="1" applyBorder="1"/>
    <xf numFmtId="9" fontId="4" fillId="4" borderId="23" xfId="2" applyFont="1" applyFill="1" applyBorder="1"/>
    <xf numFmtId="166" fontId="0" fillId="0" borderId="39" xfId="2" applyNumberFormat="1" applyFont="1" applyFill="1" applyBorder="1"/>
    <xf numFmtId="166" fontId="0" fillId="0" borderId="6" xfId="2" applyNumberFormat="1" applyFont="1" applyFill="1" applyBorder="1"/>
    <xf numFmtId="0" fontId="17" fillId="5" borderId="40" xfId="0" applyFont="1" applyFill="1" applyBorder="1" applyAlignment="1">
      <alignment horizontal="center" wrapText="1"/>
    </xf>
    <xf numFmtId="0" fontId="0" fillId="5" borderId="16" xfId="0" applyFill="1" applyBorder="1" applyAlignment="1">
      <alignment vertical="top" wrapText="1"/>
    </xf>
    <xf numFmtId="0" fontId="17" fillId="5" borderId="40" xfId="0" applyFont="1" applyFill="1" applyBorder="1" applyAlignment="1">
      <alignment horizontal="center" vertical="top" wrapText="1"/>
    </xf>
    <xf numFmtId="0" fontId="1" fillId="6" borderId="35" xfId="0" applyFont="1" applyFill="1" applyBorder="1"/>
    <xf numFmtId="164" fontId="1" fillId="6" borderId="23" xfId="0" applyNumberFormat="1" applyFont="1" applyFill="1" applyBorder="1"/>
    <xf numFmtId="164" fontId="1" fillId="6" borderId="8" xfId="0" applyNumberFormat="1" applyFont="1" applyFill="1" applyBorder="1"/>
    <xf numFmtId="0" fontId="24" fillId="6" borderId="23" xfId="0" applyFont="1" applyFill="1" applyBorder="1"/>
    <xf numFmtId="164" fontId="24" fillId="6" borderId="8" xfId="0" applyNumberFormat="1" applyFont="1" applyFill="1" applyBorder="1"/>
    <xf numFmtId="0" fontId="1" fillId="6" borderId="36" xfId="0" applyFont="1" applyFill="1" applyBorder="1"/>
    <xf numFmtId="164" fontId="1" fillId="6" borderId="6" xfId="0" applyNumberFormat="1" applyFont="1" applyFill="1" applyBorder="1"/>
    <xf numFmtId="0" fontId="9" fillId="7" borderId="3" xfId="0" applyFont="1" applyFill="1" applyBorder="1"/>
    <xf numFmtId="164" fontId="10" fillId="7" borderId="3" xfId="0" applyNumberFormat="1" applyFont="1" applyFill="1" applyBorder="1"/>
    <xf numFmtId="164" fontId="10" fillId="7" borderId="8" xfId="0" applyNumberFormat="1" applyFont="1" applyFill="1" applyBorder="1"/>
    <xf numFmtId="164" fontId="10" fillId="7" borderId="9" xfId="0" applyNumberFormat="1" applyFont="1" applyFill="1" applyBorder="1"/>
    <xf numFmtId="164" fontId="12" fillId="7" borderId="2" xfId="0" applyNumberFormat="1" applyFont="1" applyFill="1" applyBorder="1"/>
    <xf numFmtId="164" fontId="12" fillId="7" borderId="6" xfId="0" applyNumberFormat="1" applyFont="1" applyFill="1" applyBorder="1"/>
    <xf numFmtId="164" fontId="12" fillId="7" borderId="7" xfId="0" applyNumberFormat="1" applyFont="1" applyFill="1" applyBorder="1"/>
    <xf numFmtId="0" fontId="11" fillId="7" borderId="2" xfId="0" applyFont="1" applyFill="1" applyBorder="1"/>
    <xf numFmtId="0" fontId="8" fillId="5" borderId="30" xfId="0" applyFont="1" applyFill="1" applyBorder="1" applyAlignment="1">
      <alignment horizontal="left"/>
    </xf>
    <xf numFmtId="0" fontId="19" fillId="0" borderId="53" xfId="0" applyFont="1" applyBorder="1" applyAlignment="1">
      <alignment wrapText="1"/>
    </xf>
    <xf numFmtId="0" fontId="19" fillId="0" borderId="55" xfId="0" applyFont="1" applyBorder="1" applyAlignment="1">
      <alignment wrapText="1"/>
    </xf>
    <xf numFmtId="0" fontId="19" fillId="0" borderId="28" xfId="0" applyFont="1" applyBorder="1" applyAlignment="1">
      <alignment wrapText="1"/>
    </xf>
    <xf numFmtId="0" fontId="22" fillId="0" borderId="30" xfId="0" applyFont="1" applyBorder="1"/>
    <xf numFmtId="3" fontId="19" fillId="0" borderId="10" xfId="0" applyNumberFormat="1" applyFont="1" applyBorder="1" applyAlignment="1">
      <alignment vertical="center"/>
    </xf>
    <xf numFmtId="3" fontId="19" fillId="0" borderId="5" xfId="0" applyNumberFormat="1" applyFont="1" applyBorder="1" applyAlignment="1">
      <alignment vertical="center"/>
    </xf>
    <xf numFmtId="0" fontId="8" fillId="2" borderId="30" xfId="0" applyFont="1" applyFill="1" applyBorder="1" applyAlignment="1">
      <alignment horizontal="left"/>
    </xf>
    <xf numFmtId="0" fontId="19" fillId="0" borderId="56" xfId="0" applyFont="1" applyBorder="1" applyAlignment="1">
      <alignment vertical="center"/>
    </xf>
    <xf numFmtId="0" fontId="19" fillId="7" borderId="57" xfId="0" applyFont="1" applyFill="1" applyBorder="1" applyAlignment="1">
      <alignment vertical="center"/>
    </xf>
    <xf numFmtId="3" fontId="19" fillId="7" borderId="27" xfId="0" applyNumberFormat="1" applyFont="1" applyFill="1" applyBorder="1" applyAlignment="1">
      <alignment vertical="center"/>
    </xf>
    <xf numFmtId="3" fontId="19" fillId="7" borderId="58" xfId="0" applyNumberFormat="1" applyFont="1" applyFill="1" applyBorder="1" applyAlignment="1">
      <alignment vertical="center"/>
    </xf>
    <xf numFmtId="3" fontId="19" fillId="7" borderId="25" xfId="0" applyNumberFormat="1" applyFont="1" applyFill="1" applyBorder="1" applyAlignment="1">
      <alignment vertical="center"/>
    </xf>
    <xf numFmtId="3" fontId="19" fillId="7" borderId="26" xfId="0" applyNumberFormat="1" applyFont="1" applyFill="1" applyBorder="1" applyAlignment="1">
      <alignment vertical="center"/>
    </xf>
    <xf numFmtId="9" fontId="4" fillId="0" borderId="0" xfId="2" applyFont="1" applyBorder="1"/>
    <xf numFmtId="0" fontId="19" fillId="7" borderId="35" xfId="0" applyFont="1" applyFill="1" applyBorder="1"/>
    <xf numFmtId="164" fontId="0" fillId="7" borderId="23" xfId="0" applyNumberFormat="1" applyFill="1" applyBorder="1"/>
    <xf numFmtId="164" fontId="0" fillId="7" borderId="8" xfId="0" applyNumberFormat="1" applyFill="1" applyBorder="1"/>
    <xf numFmtId="0" fontId="0" fillId="7" borderId="36" xfId="0" applyFill="1" applyBorder="1"/>
    <xf numFmtId="164" fontId="0" fillId="7" borderId="6" xfId="0" applyNumberFormat="1" applyFill="1" applyBorder="1"/>
    <xf numFmtId="0" fontId="43" fillId="7" borderId="0" xfId="3" applyFill="1"/>
    <xf numFmtId="0" fontId="43" fillId="4" borderId="0" xfId="3" applyFill="1"/>
    <xf numFmtId="164" fontId="0" fillId="4" borderId="18" xfId="0" applyNumberFormat="1" applyFill="1" applyBorder="1" applyAlignment="1">
      <alignment vertical="center"/>
    </xf>
    <xf numFmtId="164" fontId="0" fillId="4" borderId="19" xfId="0" applyNumberFormat="1" applyFill="1" applyBorder="1" applyAlignment="1">
      <alignment vertical="center"/>
    </xf>
    <xf numFmtId="3" fontId="19" fillId="7" borderId="16" xfId="0" applyNumberFormat="1" applyFont="1" applyFill="1" applyBorder="1" applyAlignment="1">
      <alignment vertical="center"/>
    </xf>
    <xf numFmtId="164" fontId="0" fillId="7" borderId="38" xfId="0" applyNumberFormat="1" applyFill="1" applyBorder="1"/>
    <xf numFmtId="164" fontId="0" fillId="7" borderId="39" xfId="0" applyNumberFormat="1" applyFill="1" applyBorder="1"/>
    <xf numFmtId="164" fontId="0" fillId="6" borderId="0" xfId="0" applyNumberFormat="1" applyFill="1"/>
    <xf numFmtId="0" fontId="9" fillId="7" borderId="20" xfId="0" applyFont="1" applyFill="1" applyBorder="1"/>
    <xf numFmtId="164" fontId="10" fillId="7" borderId="20" xfId="0" applyNumberFormat="1" applyFont="1" applyFill="1" applyBorder="1"/>
    <xf numFmtId="164" fontId="10" fillId="7" borderId="40" xfId="0" applyNumberFormat="1" applyFont="1" applyFill="1" applyBorder="1"/>
    <xf numFmtId="164" fontId="10" fillId="7" borderId="51" xfId="0" applyNumberFormat="1" applyFont="1" applyFill="1" applyBorder="1"/>
    <xf numFmtId="164" fontId="12" fillId="7" borderId="3" xfId="0" applyNumberFormat="1" applyFont="1" applyFill="1" applyBorder="1"/>
    <xf numFmtId="164" fontId="12" fillId="7" borderId="8" xfId="0" applyNumberFormat="1" applyFont="1" applyFill="1" applyBorder="1"/>
    <xf numFmtId="164" fontId="12" fillId="7" borderId="9" xfId="0" applyNumberFormat="1" applyFont="1" applyFill="1" applyBorder="1"/>
    <xf numFmtId="0" fontId="0" fillId="4" borderId="38" xfId="0" applyFill="1" applyBorder="1"/>
    <xf numFmtId="0" fontId="0" fillId="4" borderId="23" xfId="0" applyFill="1" applyBorder="1"/>
    <xf numFmtId="0" fontId="23" fillId="3" borderId="18" xfId="0" applyFont="1" applyFill="1" applyBorder="1" applyAlignment="1">
      <alignment horizontal="center"/>
    </xf>
    <xf numFmtId="0" fontId="23" fillId="3" borderId="14" xfId="0" applyFont="1" applyFill="1" applyBorder="1" applyAlignment="1">
      <alignment horizontal="center"/>
    </xf>
    <xf numFmtId="164" fontId="0" fillId="0" borderId="47" xfId="0" applyNumberFormat="1" applyBorder="1" applyAlignment="1">
      <alignment vertical="center"/>
    </xf>
    <xf numFmtId="164" fontId="0" fillId="0" borderId="58" xfId="0" applyNumberFormat="1" applyBorder="1" applyAlignment="1">
      <alignment vertical="center"/>
    </xf>
    <xf numFmtId="0" fontId="36" fillId="0" borderId="43" xfId="0" applyFont="1" applyBorder="1" applyAlignment="1">
      <alignment vertical="center" wrapText="1"/>
    </xf>
    <xf numFmtId="0" fontId="36" fillId="0" borderId="27" xfId="0" applyFont="1" applyBorder="1" applyAlignment="1">
      <alignment vertical="center"/>
    </xf>
    <xf numFmtId="0" fontId="23" fillId="3" borderId="59" xfId="0" applyFont="1" applyFill="1" applyBorder="1" applyAlignment="1">
      <alignment horizontal="center"/>
    </xf>
    <xf numFmtId="164" fontId="0" fillId="0" borderId="60" xfId="0" applyNumberFormat="1" applyBorder="1" applyAlignment="1">
      <alignment vertical="center"/>
    </xf>
    <xf numFmtId="164" fontId="0" fillId="0" borderId="61" xfId="0" applyNumberFormat="1" applyBorder="1" applyAlignment="1">
      <alignment vertical="center"/>
    </xf>
    <xf numFmtId="164" fontId="0" fillId="0" borderId="50" xfId="0" applyNumberFormat="1" applyBorder="1" applyAlignment="1">
      <alignment vertical="center"/>
    </xf>
    <xf numFmtId="164" fontId="0" fillId="0" borderId="49" xfId="0" applyNumberFormat="1" applyBorder="1" applyAlignment="1">
      <alignment vertical="center"/>
    </xf>
    <xf numFmtId="3" fontId="4" fillId="7" borderId="16" xfId="0" applyNumberFormat="1" applyFont="1" applyFill="1" applyBorder="1" applyAlignment="1">
      <alignment vertical="center"/>
    </xf>
    <xf numFmtId="3" fontId="4" fillId="7" borderId="17" xfId="0" applyNumberFormat="1" applyFont="1" applyFill="1" applyBorder="1" applyAlignment="1">
      <alignment vertical="center"/>
    </xf>
    <xf numFmtId="0" fontId="45" fillId="7" borderId="38" xfId="0" applyFont="1" applyFill="1" applyBorder="1" applyAlignment="1">
      <alignment horizontal="left"/>
    </xf>
    <xf numFmtId="0" fontId="45" fillId="7" borderId="23" xfId="0" applyFont="1" applyFill="1" applyBorder="1" applyAlignment="1">
      <alignment horizontal="left"/>
    </xf>
    <xf numFmtId="0" fontId="45" fillId="0" borderId="38" xfId="0" applyFont="1" applyBorder="1" applyAlignment="1">
      <alignment horizontal="left"/>
    </xf>
    <xf numFmtId="0" fontId="45" fillId="0" borderId="23" xfId="0" applyFont="1" applyBorder="1" applyAlignment="1">
      <alignment horizontal="left"/>
    </xf>
    <xf numFmtId="0" fontId="19" fillId="7" borderId="16" xfId="0" applyFont="1" applyFill="1" applyBorder="1"/>
    <xf numFmtId="9" fontId="1" fillId="0" borderId="0" xfId="0" applyNumberFormat="1" applyFont="1"/>
    <xf numFmtId="0" fontId="0" fillId="0" borderId="36" xfId="0" applyBorder="1" applyAlignment="1">
      <alignment horizontal="left"/>
    </xf>
    <xf numFmtId="0" fontId="0" fillId="0" borderId="23" xfId="0" applyBorder="1" applyAlignment="1">
      <alignment horizontal="left"/>
    </xf>
    <xf numFmtId="0" fontId="1" fillId="0" borderId="23" xfId="0" applyFont="1" applyBorder="1" applyAlignment="1">
      <alignment horizontal="left"/>
    </xf>
    <xf numFmtId="0" fontId="0" fillId="0" borderId="38" xfId="0" applyBorder="1" applyAlignment="1">
      <alignment horizontal="left"/>
    </xf>
    <xf numFmtId="0" fontId="1" fillId="0" borderId="16" xfId="0" applyFont="1" applyBorder="1" applyAlignment="1">
      <alignment horizontal="left"/>
    </xf>
    <xf numFmtId="0" fontId="3" fillId="7" borderId="16" xfId="0" applyFont="1" applyFill="1" applyBorder="1" applyAlignment="1">
      <alignment horizontal="left"/>
    </xf>
    <xf numFmtId="3" fontId="3" fillId="7" borderId="23" xfId="0" applyNumberFormat="1" applyFont="1" applyFill="1" applyBorder="1"/>
    <xf numFmtId="0" fontId="1" fillId="7" borderId="16" xfId="0" applyFont="1" applyFill="1" applyBorder="1" applyAlignment="1">
      <alignment horizontal="left"/>
    </xf>
    <xf numFmtId="3" fontId="1" fillId="7" borderId="23" xfId="0" applyNumberFormat="1" applyFont="1" applyFill="1" applyBorder="1"/>
    <xf numFmtId="0" fontId="1" fillId="7" borderId="23" xfId="0" applyFont="1" applyFill="1" applyBorder="1" applyAlignment="1">
      <alignment horizontal="left"/>
    </xf>
    <xf numFmtId="10" fontId="1" fillId="7" borderId="8" xfId="2" applyNumberFormat="1" applyFont="1" applyFill="1" applyBorder="1"/>
    <xf numFmtId="0" fontId="0" fillId="7" borderId="23" xfId="0" applyFill="1" applyBorder="1"/>
    <xf numFmtId="3" fontId="0" fillId="7" borderId="8" xfId="0" applyNumberFormat="1" applyFill="1" applyBorder="1"/>
    <xf numFmtId="166" fontId="3" fillId="7" borderId="8" xfId="2" applyNumberFormat="1" applyFill="1" applyBorder="1"/>
    <xf numFmtId="9" fontId="3" fillId="7" borderId="8" xfId="2" applyFill="1" applyBorder="1"/>
    <xf numFmtId="0" fontId="1" fillId="6" borderId="23" xfId="0" applyFont="1" applyFill="1" applyBorder="1"/>
    <xf numFmtId="164" fontId="1" fillId="0" borderId="39" xfId="0" applyNumberFormat="1" applyFont="1" applyBorder="1"/>
    <xf numFmtId="10" fontId="0" fillId="0" borderId="38" xfId="0" applyNumberFormat="1" applyBorder="1"/>
    <xf numFmtId="0" fontId="55" fillId="0" borderId="16" xfId="0" applyFont="1" applyBorder="1"/>
    <xf numFmtId="164" fontId="55" fillId="0" borderId="16" xfId="0" applyNumberFormat="1" applyFont="1" applyBorder="1"/>
    <xf numFmtId="0" fontId="38" fillId="6" borderId="16" xfId="0" applyFont="1" applyFill="1" applyBorder="1"/>
    <xf numFmtId="164" fontId="1" fillId="6" borderId="16" xfId="0" applyNumberFormat="1" applyFont="1" applyFill="1" applyBorder="1"/>
    <xf numFmtId="164" fontId="24" fillId="6" borderId="23" xfId="0" applyNumberFormat="1" applyFont="1" applyFill="1" applyBorder="1"/>
    <xf numFmtId="0" fontId="1" fillId="0" borderId="38" xfId="0" applyFont="1" applyBorder="1"/>
    <xf numFmtId="164" fontId="3" fillId="0" borderId="8" xfId="0" applyNumberFormat="1" applyFont="1" applyBorder="1"/>
    <xf numFmtId="164" fontId="1" fillId="0" borderId="34" xfId="0" applyNumberFormat="1" applyFont="1" applyBorder="1"/>
    <xf numFmtId="164" fontId="0" fillId="0" borderId="35" xfId="0" applyNumberFormat="1" applyBorder="1"/>
    <xf numFmtId="164" fontId="0" fillId="0" borderId="46" xfId="0" applyNumberFormat="1" applyBorder="1"/>
    <xf numFmtId="164" fontId="55" fillId="0" borderId="46" xfId="0" applyNumberFormat="1" applyFont="1" applyBorder="1"/>
    <xf numFmtId="164" fontId="55" fillId="0" borderId="40" xfId="0" applyNumberFormat="1" applyFont="1" applyBorder="1"/>
    <xf numFmtId="164" fontId="55" fillId="0" borderId="38" xfId="0" applyNumberFormat="1" applyFont="1" applyBorder="1"/>
    <xf numFmtId="164" fontId="55" fillId="0" borderId="39" xfId="0" applyNumberFormat="1" applyFont="1" applyBorder="1"/>
    <xf numFmtId="164" fontId="55" fillId="0" borderId="45" xfId="0" applyNumberFormat="1" applyFont="1" applyBorder="1"/>
    <xf numFmtId="164" fontId="18" fillId="4" borderId="45" xfId="0" applyNumberFormat="1" applyFont="1" applyFill="1" applyBorder="1"/>
    <xf numFmtId="164" fontId="18" fillId="4" borderId="0" xfId="0" applyNumberFormat="1" applyFont="1" applyFill="1"/>
    <xf numFmtId="0" fontId="0" fillId="0" borderId="62" xfId="0" applyBorder="1"/>
    <xf numFmtId="164" fontId="0" fillId="0" borderId="63" xfId="0" applyNumberFormat="1" applyBorder="1"/>
    <xf numFmtId="0" fontId="0" fillId="0" borderId="2" xfId="0" applyBorder="1"/>
    <xf numFmtId="164" fontId="0" fillId="0" borderId="64" xfId="0" applyNumberFormat="1" applyBorder="1"/>
    <xf numFmtId="0" fontId="0" fillId="0" borderId="3" xfId="0" applyBorder="1"/>
    <xf numFmtId="164" fontId="0" fillId="0" borderId="24" xfId="0" applyNumberFormat="1" applyBorder="1"/>
    <xf numFmtId="0" fontId="13" fillId="0" borderId="54" xfId="0" applyFont="1" applyBorder="1"/>
    <xf numFmtId="0" fontId="23" fillId="0" borderId="54" xfId="0" applyFont="1" applyBorder="1" applyAlignment="1">
      <alignment horizontal="center"/>
    </xf>
    <xf numFmtId="0" fontId="17" fillId="0" borderId="54" xfId="0" applyFont="1" applyBorder="1" applyAlignment="1">
      <alignment horizontal="center"/>
    </xf>
    <xf numFmtId="0" fontId="0" fillId="5" borderId="38" xfId="0" applyFill="1" applyBorder="1" applyAlignment="1">
      <alignment vertical="top" wrapText="1"/>
    </xf>
    <xf numFmtId="0" fontId="0" fillId="5" borderId="23" xfId="0" applyFill="1" applyBorder="1" applyAlignment="1">
      <alignment vertical="top" wrapText="1"/>
    </xf>
    <xf numFmtId="0" fontId="1" fillId="5" borderId="38" xfId="0" applyFont="1" applyFill="1" applyBorder="1" applyAlignment="1">
      <alignment horizontal="center" vertical="top" wrapText="1"/>
    </xf>
    <xf numFmtId="0" fontId="17" fillId="5" borderId="16" xfId="0" applyFont="1" applyFill="1" applyBorder="1" applyAlignment="1">
      <alignment horizontal="center"/>
    </xf>
    <xf numFmtId="0" fontId="0" fillId="5" borderId="1" xfId="0" applyFill="1" applyBorder="1"/>
    <xf numFmtId="0" fontId="17" fillId="5" borderId="18" xfId="0" applyFont="1" applyFill="1" applyBorder="1" applyAlignment="1">
      <alignment horizontal="center"/>
    </xf>
    <xf numFmtId="0" fontId="17" fillId="5" borderId="19" xfId="0" applyFont="1" applyFill="1" applyBorder="1" applyAlignment="1">
      <alignment horizontal="center"/>
    </xf>
    <xf numFmtId="0" fontId="57" fillId="3" borderId="1" xfId="0" applyFont="1" applyFill="1" applyBorder="1" applyAlignment="1">
      <alignment horizontal="center"/>
    </xf>
    <xf numFmtId="0" fontId="1" fillId="5" borderId="35" xfId="0" applyFont="1" applyFill="1" applyBorder="1" applyAlignment="1">
      <alignment horizontal="center" vertical="top" wrapText="1"/>
    </xf>
    <xf numFmtId="0" fontId="23" fillId="3" borderId="16" xfId="0" applyFont="1" applyFill="1" applyBorder="1" applyAlignment="1">
      <alignment horizontal="center"/>
    </xf>
    <xf numFmtId="164" fontId="0" fillId="0" borderId="47" xfId="0" applyNumberFormat="1" applyBorder="1"/>
    <xf numFmtId="164" fontId="0" fillId="0" borderId="58" xfId="0" applyNumberFormat="1" applyBorder="1"/>
    <xf numFmtId="164" fontId="0" fillId="0" borderId="43" xfId="0" applyNumberFormat="1" applyBorder="1"/>
    <xf numFmtId="164" fontId="0" fillId="0" borderId="62" xfId="0" applyNumberFormat="1" applyBorder="1"/>
    <xf numFmtId="164" fontId="0" fillId="0" borderId="2" xfId="0" applyNumberFormat="1" applyBorder="1"/>
    <xf numFmtId="164" fontId="0" fillId="0" borderId="3" xfId="0" applyNumberFormat="1" applyBorder="1"/>
    <xf numFmtId="164" fontId="0" fillId="0" borderId="27" xfId="0" applyNumberFormat="1" applyBorder="1"/>
    <xf numFmtId="0" fontId="0" fillId="0" borderId="56" xfId="0" applyBorder="1"/>
    <xf numFmtId="0" fontId="0" fillId="0" borderId="65" xfId="0" applyBorder="1"/>
    <xf numFmtId="0" fontId="0" fillId="0" borderId="57" xfId="0" applyBorder="1"/>
    <xf numFmtId="164" fontId="0" fillId="0" borderId="20" xfId="0" applyNumberFormat="1" applyBorder="1"/>
    <xf numFmtId="3" fontId="4" fillId="0" borderId="10" xfId="0" applyNumberFormat="1" applyFont="1" applyBorder="1" applyAlignment="1">
      <alignment vertical="center"/>
    </xf>
    <xf numFmtId="3" fontId="4" fillId="7" borderId="40" xfId="0" applyNumberFormat="1" applyFont="1" applyFill="1" applyBorder="1" applyAlignment="1">
      <alignment vertical="center"/>
    </xf>
    <xf numFmtId="3" fontId="4" fillId="0" borderId="40" xfId="0" applyNumberFormat="1" applyFont="1" applyBorder="1" applyAlignment="1">
      <alignment vertical="center"/>
    </xf>
    <xf numFmtId="3" fontId="4" fillId="0" borderId="5" xfId="0" applyNumberFormat="1" applyFont="1" applyBorder="1" applyAlignment="1">
      <alignment vertical="center"/>
    </xf>
    <xf numFmtId="0" fontId="4" fillId="0" borderId="3" xfId="0" applyFont="1" applyBorder="1"/>
    <xf numFmtId="3" fontId="4" fillId="7" borderId="20" xfId="0" applyNumberFormat="1" applyFont="1" applyFill="1" applyBorder="1" applyAlignment="1">
      <alignment vertical="center"/>
    </xf>
    <xf numFmtId="3" fontId="4" fillId="0" borderId="20" xfId="0" applyNumberFormat="1" applyFont="1" applyBorder="1" applyAlignment="1">
      <alignment vertical="center"/>
    </xf>
    <xf numFmtId="3" fontId="4" fillId="0" borderId="47" xfId="0" applyNumberFormat="1" applyFont="1" applyBorder="1" applyAlignment="1">
      <alignment vertical="center"/>
    </xf>
    <xf numFmtId="3" fontId="4" fillId="0" borderId="58" xfId="0" applyNumberFormat="1" applyFont="1" applyBorder="1" applyAlignment="1">
      <alignment vertical="center"/>
    </xf>
    <xf numFmtId="3" fontId="4" fillId="0" borderId="12" xfId="0" applyNumberFormat="1" applyFont="1" applyBorder="1" applyAlignment="1">
      <alignment vertical="center"/>
    </xf>
    <xf numFmtId="3" fontId="4" fillId="0" borderId="43" xfId="0" applyNumberFormat="1" applyFont="1" applyBorder="1" applyAlignment="1">
      <alignment vertical="center"/>
    </xf>
    <xf numFmtId="3" fontId="4" fillId="0" borderId="27" xfId="0" applyNumberFormat="1" applyFont="1" applyBorder="1" applyAlignment="1">
      <alignment vertical="center"/>
    </xf>
    <xf numFmtId="3" fontId="4" fillId="0" borderId="4" xfId="0" applyNumberFormat="1" applyFont="1" applyBorder="1" applyAlignment="1">
      <alignment vertical="center"/>
    </xf>
    <xf numFmtId="0" fontId="4" fillId="0" borderId="3" xfId="0" applyFont="1" applyBorder="1" applyAlignment="1">
      <alignment vertical="center"/>
    </xf>
    <xf numFmtId="3" fontId="4" fillId="7" borderId="2" xfId="0" applyNumberFormat="1" applyFont="1" applyFill="1" applyBorder="1" applyAlignment="1">
      <alignment vertical="center"/>
    </xf>
    <xf numFmtId="3" fontId="4" fillId="7" borderId="6" xfId="0" applyNumberFormat="1" applyFont="1" applyFill="1" applyBorder="1" applyAlignment="1">
      <alignment vertical="center"/>
    </xf>
    <xf numFmtId="3" fontId="4" fillId="7" borderId="36" xfId="0" applyNumberFormat="1" applyFont="1" applyFill="1" applyBorder="1" applyAlignment="1">
      <alignment vertical="center"/>
    </xf>
    <xf numFmtId="3" fontId="4" fillId="7" borderId="4" xfId="0" applyNumberFormat="1" applyFont="1" applyFill="1" applyBorder="1" applyAlignment="1">
      <alignment vertical="center"/>
    </xf>
    <xf numFmtId="3" fontId="4" fillId="7" borderId="12" xfId="0" applyNumberFormat="1" applyFont="1" applyFill="1" applyBorder="1" applyAlignment="1">
      <alignment vertical="center"/>
    </xf>
    <xf numFmtId="3" fontId="4" fillId="7" borderId="37" xfId="0" applyNumberFormat="1" applyFont="1" applyFill="1" applyBorder="1" applyAlignment="1">
      <alignment vertical="center"/>
    </xf>
    <xf numFmtId="3" fontId="4" fillId="7" borderId="3" xfId="0" applyNumberFormat="1" applyFont="1" applyFill="1" applyBorder="1" applyAlignment="1">
      <alignment vertical="center"/>
    </xf>
    <xf numFmtId="3" fontId="4" fillId="7" borderId="8" xfId="0" applyNumberFormat="1" applyFont="1" applyFill="1" applyBorder="1" applyAlignment="1">
      <alignment vertical="center"/>
    </xf>
    <xf numFmtId="3" fontId="4" fillId="7" borderId="23" xfId="0" applyNumberFormat="1" applyFont="1" applyFill="1" applyBorder="1" applyAlignment="1">
      <alignment vertical="center"/>
    </xf>
    <xf numFmtId="3" fontId="4" fillId="7" borderId="21" xfId="0" applyNumberFormat="1" applyFont="1" applyFill="1" applyBorder="1" applyAlignment="1">
      <alignment vertical="center"/>
    </xf>
    <xf numFmtId="0" fontId="19" fillId="7" borderId="34" xfId="0" applyFont="1" applyFill="1" applyBorder="1"/>
    <xf numFmtId="164" fontId="0" fillId="7" borderId="36" xfId="0" applyNumberFormat="1" applyFill="1" applyBorder="1"/>
    <xf numFmtId="1" fontId="41" fillId="0" borderId="0" xfId="0" applyNumberFormat="1" applyFont="1"/>
    <xf numFmtId="0" fontId="0" fillId="6" borderId="23" xfId="0" applyFill="1" applyBorder="1"/>
    <xf numFmtId="164" fontId="0" fillId="6" borderId="23" xfId="0" applyNumberFormat="1" applyFill="1" applyBorder="1"/>
    <xf numFmtId="0" fontId="46" fillId="0" borderId="16" xfId="0" applyFont="1" applyBorder="1" applyAlignment="1">
      <alignment horizontal="justify" vertical="top" wrapText="1"/>
    </xf>
    <xf numFmtId="3" fontId="46" fillId="0" borderId="16" xfId="0" applyNumberFormat="1" applyFont="1" applyBorder="1" applyAlignment="1">
      <alignment horizontal="right" wrapText="1"/>
    </xf>
    <xf numFmtId="0" fontId="45" fillId="0" borderId="16" xfId="0" applyFont="1" applyBorder="1" applyAlignment="1">
      <alignment horizontal="justify" vertical="top" wrapText="1"/>
    </xf>
    <xf numFmtId="3" fontId="45" fillId="0" borderId="16" xfId="0" applyNumberFormat="1" applyFont="1" applyBorder="1" applyAlignment="1">
      <alignment horizontal="right" wrapText="1"/>
    </xf>
    <xf numFmtId="0" fontId="47" fillId="0" borderId="16" xfId="0" applyFont="1" applyBorder="1" applyAlignment="1">
      <alignment horizontal="left" vertical="top" wrapText="1"/>
    </xf>
    <xf numFmtId="3" fontId="47" fillId="0" borderId="16" xfId="0" applyNumberFormat="1" applyFont="1" applyBorder="1" applyAlignment="1">
      <alignment horizontal="right" wrapText="1"/>
    </xf>
    <xf numFmtId="1" fontId="47" fillId="0" borderId="16" xfId="0" applyNumberFormat="1" applyFont="1" applyBorder="1" applyAlignment="1">
      <alignment horizontal="right" wrapText="1"/>
    </xf>
    <xf numFmtId="0" fontId="17" fillId="5" borderId="40" xfId="0" applyFont="1" applyFill="1" applyBorder="1" applyAlignment="1">
      <alignment horizontal="left" vertical="top" wrapText="1"/>
    </xf>
    <xf numFmtId="3" fontId="24" fillId="6" borderId="23" xfId="0" applyNumberFormat="1" applyFont="1" applyFill="1" applyBorder="1"/>
    <xf numFmtId="0" fontId="55" fillId="6" borderId="36" xfId="0" applyFont="1" applyFill="1" applyBorder="1"/>
    <xf numFmtId="164" fontId="55" fillId="6" borderId="38" xfId="0" applyNumberFormat="1" applyFont="1" applyFill="1" applyBorder="1"/>
    <xf numFmtId="0" fontId="60" fillId="0" borderId="16" xfId="0" applyFont="1" applyBorder="1" applyAlignment="1">
      <alignment horizontal="justify" vertical="top" wrapText="1"/>
    </xf>
    <xf numFmtId="3" fontId="60" fillId="0" borderId="16" xfId="0" applyNumberFormat="1" applyFont="1" applyBorder="1" applyAlignment="1">
      <alignment horizontal="right" wrapText="1"/>
    </xf>
    <xf numFmtId="3" fontId="45" fillId="6" borderId="16" xfId="0" applyNumberFormat="1" applyFont="1" applyFill="1" applyBorder="1" applyAlignment="1">
      <alignment horizontal="right" wrapText="1"/>
    </xf>
    <xf numFmtId="0" fontId="1" fillId="0" borderId="35" xfId="0" applyFont="1" applyBorder="1"/>
    <xf numFmtId="9" fontId="4" fillId="0" borderId="0" xfId="2" applyFont="1" applyFill="1" applyBorder="1"/>
    <xf numFmtId="0" fontId="17" fillId="0" borderId="0" xfId="0" applyFont="1" applyAlignment="1">
      <alignment horizontal="center" wrapText="1"/>
    </xf>
    <xf numFmtId="0" fontId="17" fillId="0" borderId="0" xfId="0" applyFont="1" applyAlignment="1">
      <alignment horizontal="center" vertical="top" wrapText="1"/>
    </xf>
    <xf numFmtId="164" fontId="0" fillId="0" borderId="34" xfId="0" applyNumberFormat="1" applyBorder="1"/>
    <xf numFmtId="10" fontId="3" fillId="0" borderId="34" xfId="2" applyNumberFormat="1" applyFill="1" applyBorder="1"/>
    <xf numFmtId="10" fontId="0" fillId="0" borderId="34" xfId="0" applyNumberFormat="1" applyBorder="1"/>
    <xf numFmtId="1" fontId="36" fillId="0" borderId="0" xfId="0" applyNumberFormat="1" applyFont="1"/>
    <xf numFmtId="0" fontId="17" fillId="0" borderId="6" xfId="0" applyFont="1" applyBorder="1" applyAlignment="1">
      <alignment horizontal="center" vertical="top" wrapText="1"/>
    </xf>
    <xf numFmtId="10" fontId="3" fillId="0" borderId="6" xfId="2" applyNumberFormat="1" applyFill="1" applyBorder="1"/>
    <xf numFmtId="165" fontId="15" fillId="0" borderId="0" xfId="0" applyNumberFormat="1" applyFont="1"/>
    <xf numFmtId="10" fontId="0" fillId="0" borderId="23" xfId="0" applyNumberFormat="1" applyBorder="1"/>
    <xf numFmtId="0" fontId="1" fillId="0" borderId="44" xfId="0" applyFont="1" applyBorder="1"/>
    <xf numFmtId="0" fontId="3" fillId="0" borderId="38" xfId="0" applyFont="1" applyBorder="1"/>
    <xf numFmtId="164" fontId="3" fillId="0" borderId="39" xfId="0" applyNumberFormat="1" applyFont="1" applyBorder="1"/>
    <xf numFmtId="0" fontId="1" fillId="6" borderId="38" xfId="0" applyFont="1" applyFill="1" applyBorder="1"/>
    <xf numFmtId="166" fontId="3" fillId="0" borderId="16" xfId="2" applyNumberFormat="1" applyFill="1" applyBorder="1"/>
    <xf numFmtId="166" fontId="3" fillId="0" borderId="6" xfId="2" applyNumberFormat="1" applyFill="1" applyBorder="1"/>
    <xf numFmtId="9" fontId="3" fillId="0" borderId="6" xfId="2" applyFill="1" applyBorder="1"/>
    <xf numFmtId="166" fontId="3" fillId="0" borderId="39" xfId="2" applyNumberFormat="1" applyFill="1" applyBorder="1"/>
    <xf numFmtId="166" fontId="3" fillId="0" borderId="8" xfId="2" applyNumberFormat="1" applyFill="1" applyBorder="1"/>
    <xf numFmtId="9" fontId="3" fillId="0" borderId="8" xfId="2" applyFill="1" applyBorder="1"/>
    <xf numFmtId="166" fontId="1" fillId="0" borderId="16" xfId="2" applyNumberFormat="1" applyFont="1" applyFill="1" applyBorder="1"/>
    <xf numFmtId="10" fontId="1" fillId="0" borderId="40" xfId="2" applyNumberFormat="1" applyFont="1" applyFill="1" applyBorder="1"/>
    <xf numFmtId="0" fontId="1" fillId="7" borderId="16" xfId="0" applyFont="1" applyFill="1" applyBorder="1"/>
    <xf numFmtId="9" fontId="0" fillId="4" borderId="16" xfId="0" applyNumberFormat="1" applyFill="1" applyBorder="1"/>
    <xf numFmtId="9" fontId="0" fillId="0" borderId="16" xfId="0" applyNumberFormat="1" applyBorder="1"/>
    <xf numFmtId="3" fontId="0" fillId="0" borderId="4" xfId="0" applyNumberFormat="1" applyBorder="1"/>
    <xf numFmtId="164" fontId="55" fillId="7" borderId="39" xfId="0" applyNumberFormat="1" applyFont="1" applyFill="1" applyBorder="1"/>
    <xf numFmtId="164" fontId="1" fillId="7" borderId="8" xfId="0" applyNumberFormat="1" applyFont="1" applyFill="1" applyBorder="1"/>
    <xf numFmtId="0" fontId="55" fillId="6" borderId="38" xfId="0" applyFont="1" applyFill="1" applyBorder="1"/>
    <xf numFmtId="164" fontId="0" fillId="6" borderId="8" xfId="0" applyNumberFormat="1" applyFill="1" applyBorder="1"/>
    <xf numFmtId="0" fontId="0" fillId="6" borderId="35" xfId="0" applyFill="1" applyBorder="1"/>
    <xf numFmtId="164" fontId="15" fillId="0" borderId="0" xfId="0" applyNumberFormat="1" applyFont="1"/>
    <xf numFmtId="164" fontId="55" fillId="7" borderId="38" xfId="0" applyNumberFormat="1" applyFont="1" applyFill="1" applyBorder="1"/>
    <xf numFmtId="164" fontId="3" fillId="7" borderId="8" xfId="0" applyNumberFormat="1" applyFont="1" applyFill="1" applyBorder="1"/>
    <xf numFmtId="164" fontId="1" fillId="7" borderId="39" xfId="0" applyNumberFormat="1" applyFont="1" applyFill="1" applyBorder="1"/>
    <xf numFmtId="0" fontId="34" fillId="0" borderId="1" xfId="0" applyFont="1" applyBorder="1"/>
    <xf numFmtId="164" fontId="35" fillId="0" borderId="14" xfId="0" applyNumberFormat="1" applyFont="1" applyBorder="1"/>
    <xf numFmtId="164" fontId="35" fillId="0" borderId="15" xfId="0" applyNumberFormat="1" applyFont="1" applyBorder="1"/>
    <xf numFmtId="164" fontId="0" fillId="4" borderId="14" xfId="0" applyNumberFormat="1" applyFill="1" applyBorder="1" applyAlignment="1">
      <alignment vertical="center"/>
    </xf>
    <xf numFmtId="164" fontId="0" fillId="0" borderId="10" xfId="0" applyNumberFormat="1" applyBorder="1" applyAlignment="1">
      <alignment vertical="center"/>
    </xf>
    <xf numFmtId="164" fontId="0" fillId="0" borderId="8" xfId="0" applyNumberFormat="1" applyBorder="1" applyAlignment="1">
      <alignment vertical="center"/>
    </xf>
    <xf numFmtId="164" fontId="1" fillId="0" borderId="58" xfId="0" applyNumberFormat="1" applyFont="1" applyBorder="1" applyAlignment="1">
      <alignment vertical="center"/>
    </xf>
    <xf numFmtId="164" fontId="0" fillId="0" borderId="40" xfId="0" applyNumberFormat="1" applyBorder="1" applyAlignment="1">
      <alignment vertical="center"/>
    </xf>
    <xf numFmtId="164" fontId="1" fillId="0" borderId="14" xfId="0" applyNumberFormat="1" applyFont="1" applyBorder="1" applyAlignment="1">
      <alignment vertical="center"/>
    </xf>
    <xf numFmtId="164" fontId="0" fillId="4" borderId="1" xfId="0" applyNumberFormat="1" applyFill="1" applyBorder="1" applyAlignment="1">
      <alignment vertical="center"/>
    </xf>
    <xf numFmtId="164" fontId="0" fillId="0" borderId="5" xfId="0" applyNumberFormat="1" applyBorder="1" applyAlignment="1">
      <alignment vertical="center"/>
    </xf>
    <xf numFmtId="164" fontId="0" fillId="0" borderId="3" xfId="0" applyNumberFormat="1" applyBorder="1" applyAlignment="1">
      <alignment vertical="center"/>
    </xf>
    <xf numFmtId="164" fontId="1" fillId="0" borderId="27" xfId="0" applyNumberFormat="1" applyFont="1" applyBorder="1" applyAlignment="1">
      <alignment vertical="center"/>
    </xf>
    <xf numFmtId="164" fontId="0" fillId="0" borderId="20" xfId="0" applyNumberFormat="1" applyBorder="1" applyAlignment="1">
      <alignment vertical="center"/>
    </xf>
    <xf numFmtId="164" fontId="1" fillId="0" borderId="1" xfId="0" applyNumberFormat="1" applyFont="1" applyBorder="1" applyAlignment="1">
      <alignment vertical="center"/>
    </xf>
    <xf numFmtId="0" fontId="19" fillId="0" borderId="65" xfId="0" applyFont="1" applyBorder="1"/>
    <xf numFmtId="0" fontId="19" fillId="7" borderId="57" xfId="0" applyFont="1" applyFill="1" applyBorder="1" applyAlignment="1">
      <alignment vertical="center" wrapText="1"/>
    </xf>
    <xf numFmtId="3" fontId="19" fillId="0" borderId="40" xfId="0" applyNumberFormat="1" applyFont="1" applyBorder="1" applyAlignment="1">
      <alignment vertical="center"/>
    </xf>
    <xf numFmtId="3" fontId="19" fillId="0" borderId="20" xfId="0" applyNumberFormat="1" applyFont="1" applyBorder="1" applyAlignment="1">
      <alignment vertical="center"/>
    </xf>
    <xf numFmtId="3" fontId="19" fillId="7" borderId="40" xfId="0" applyNumberFormat="1" applyFont="1" applyFill="1" applyBorder="1" applyAlignment="1">
      <alignment vertical="center"/>
    </xf>
    <xf numFmtId="3" fontId="19" fillId="7" borderId="20" xfId="0" applyNumberFormat="1" applyFont="1" applyFill="1" applyBorder="1" applyAlignment="1">
      <alignment vertical="center"/>
    </xf>
    <xf numFmtId="0" fontId="19" fillId="0" borderId="5" xfId="0" applyFont="1" applyBorder="1" applyAlignment="1">
      <alignment wrapText="1"/>
    </xf>
    <xf numFmtId="0" fontId="19" fillId="7" borderId="20" xfId="0" applyFont="1" applyFill="1" applyBorder="1" applyAlignment="1">
      <alignment wrapText="1"/>
    </xf>
    <xf numFmtId="0" fontId="4" fillId="0" borderId="5" xfId="0" applyFont="1" applyBorder="1" applyAlignment="1">
      <alignment wrapText="1"/>
    </xf>
    <xf numFmtId="0" fontId="4" fillId="7" borderId="3" xfId="0" applyFont="1" applyFill="1" applyBorder="1" applyAlignment="1">
      <alignment wrapText="1"/>
    </xf>
    <xf numFmtId="0" fontId="4" fillId="0" borderId="20" xfId="0" applyFont="1" applyBorder="1" applyAlignment="1">
      <alignment wrapText="1"/>
    </xf>
    <xf numFmtId="0" fontId="4" fillId="0" borderId="43" xfId="0" applyFont="1" applyBorder="1" applyAlignment="1">
      <alignment vertical="center"/>
    </xf>
    <xf numFmtId="0" fontId="4" fillId="0" borderId="20" xfId="0" applyFont="1" applyBorder="1"/>
    <xf numFmtId="0" fontId="4" fillId="7" borderId="20" xfId="0" applyFont="1" applyFill="1" applyBorder="1" applyAlignment="1">
      <alignment wrapText="1"/>
    </xf>
    <xf numFmtId="0" fontId="4" fillId="0" borderId="27" xfId="0" applyFont="1" applyBorder="1" applyAlignment="1">
      <alignment wrapText="1"/>
    </xf>
    <xf numFmtId="0" fontId="4" fillId="0" borderId="4" xfId="0" applyFont="1" applyBorder="1" applyAlignment="1">
      <alignment wrapText="1"/>
    </xf>
    <xf numFmtId="0" fontId="4" fillId="0" borderId="3" xfId="0" applyFont="1" applyBorder="1" applyAlignment="1">
      <alignment wrapText="1"/>
    </xf>
    <xf numFmtId="0" fontId="4" fillId="7" borderId="2" xfId="0" applyFont="1" applyFill="1" applyBorder="1" applyAlignment="1">
      <alignment wrapText="1"/>
    </xf>
    <xf numFmtId="0" fontId="4" fillId="0" borderId="1" xfId="0" applyFont="1" applyBorder="1" applyAlignment="1">
      <alignment wrapText="1"/>
    </xf>
    <xf numFmtId="0" fontId="4" fillId="7" borderId="4" xfId="0" applyFont="1" applyFill="1" applyBorder="1" applyAlignment="1">
      <alignment wrapText="1"/>
    </xf>
    <xf numFmtId="0" fontId="61" fillId="0" borderId="0" xfId="0" applyFont="1"/>
    <xf numFmtId="0" fontId="62" fillId="0" borderId="0" xfId="4" applyAlignment="1" applyProtection="1">
      <alignment horizontal="right"/>
    </xf>
    <xf numFmtId="0" fontId="28" fillId="0" borderId="0" xfId="0" applyFont="1"/>
    <xf numFmtId="0" fontId="19" fillId="0" borderId="0" xfId="0" applyFont="1" applyAlignment="1">
      <alignment horizontal="left"/>
    </xf>
    <xf numFmtId="0" fontId="64" fillId="0" borderId="0" xfId="0" applyFont="1" applyAlignment="1">
      <alignment vertical="center"/>
    </xf>
    <xf numFmtId="0" fontId="0" fillId="0" borderId="0" xfId="0" applyAlignment="1">
      <alignment vertical="center"/>
    </xf>
    <xf numFmtId="0" fontId="63" fillId="0" borderId="46" xfId="0" applyFont="1" applyBorder="1" applyAlignment="1">
      <alignment vertical="center"/>
    </xf>
    <xf numFmtId="0" fontId="62" fillId="0" borderId="40" xfId="4" applyBorder="1" applyAlignment="1" applyProtection="1">
      <alignment vertical="center"/>
    </xf>
    <xf numFmtId="0" fontId="62" fillId="0" borderId="40" xfId="4" applyBorder="1" applyAlignment="1" applyProtection="1"/>
    <xf numFmtId="0" fontId="63" fillId="8" borderId="46" xfId="0" applyFont="1" applyFill="1" applyBorder="1" applyAlignment="1">
      <alignment vertical="center"/>
    </xf>
    <xf numFmtId="0" fontId="63" fillId="8" borderId="40" xfId="0" applyFont="1" applyFill="1" applyBorder="1" applyAlignment="1">
      <alignment vertical="center"/>
    </xf>
    <xf numFmtId="0" fontId="63" fillId="8" borderId="16" xfId="0" applyFont="1" applyFill="1" applyBorder="1" applyAlignment="1">
      <alignment vertical="center"/>
    </xf>
    <xf numFmtId="0" fontId="48" fillId="0" borderId="0" xfId="0" applyFont="1"/>
    <xf numFmtId="0" fontId="49" fillId="0" borderId="0" xfId="0" applyFont="1"/>
    <xf numFmtId="0" fontId="48" fillId="0" borderId="0" xfId="3" applyFont="1"/>
    <xf numFmtId="0" fontId="51" fillId="0" borderId="0" xfId="3" applyFont="1"/>
    <xf numFmtId="0" fontId="9" fillId="0" borderId="20" xfId="0" applyFont="1" applyBorder="1"/>
    <xf numFmtId="164" fontId="10" fillId="0" borderId="20" xfId="0" applyNumberFormat="1" applyFont="1" applyBorder="1"/>
    <xf numFmtId="164" fontId="10" fillId="0" borderId="40" xfId="0" applyNumberFormat="1" applyFont="1" applyBorder="1"/>
    <xf numFmtId="164" fontId="10" fillId="0" borderId="51" xfId="0" applyNumberFormat="1" applyFont="1" applyBorder="1"/>
    <xf numFmtId="164" fontId="10" fillId="4" borderId="20" xfId="0" applyNumberFormat="1" applyFont="1" applyFill="1" applyBorder="1"/>
    <xf numFmtId="164" fontId="10" fillId="4" borderId="40" xfId="0" applyNumberFormat="1" applyFont="1" applyFill="1" applyBorder="1"/>
    <xf numFmtId="164" fontId="10" fillId="4" borderId="51" xfId="0" applyNumberFormat="1" applyFont="1" applyFill="1" applyBorder="1"/>
    <xf numFmtId="0" fontId="4" fillId="0" borderId="2" xfId="0" applyFont="1" applyBorder="1"/>
    <xf numFmtId="164" fontId="19" fillId="4" borderId="4" xfId="0" applyNumberFormat="1" applyFont="1" applyFill="1" applyBorder="1"/>
    <xf numFmtId="164" fontId="19" fillId="4" borderId="12" xfId="0" applyNumberFormat="1" applyFont="1" applyFill="1" applyBorder="1"/>
    <xf numFmtId="164" fontId="19" fillId="4" borderId="13" xfId="0" applyNumberFormat="1" applyFont="1" applyFill="1" applyBorder="1"/>
    <xf numFmtId="164" fontId="65" fillId="0" borderId="2" xfId="0" applyNumberFormat="1" applyFont="1" applyBorder="1"/>
    <xf numFmtId="164" fontId="65" fillId="0" borderId="6" xfId="0" applyNumberFormat="1" applyFont="1" applyBorder="1"/>
    <xf numFmtId="164" fontId="65" fillId="0" borderId="7" xfId="0" applyNumberFormat="1" applyFont="1" applyBorder="1"/>
    <xf numFmtId="164" fontId="19" fillId="4" borderId="2" xfId="0" applyNumberFormat="1" applyFont="1" applyFill="1" applyBorder="1"/>
    <xf numFmtId="164" fontId="19" fillId="4" borderId="6" xfId="0" applyNumberFormat="1" applyFont="1" applyFill="1" applyBorder="1"/>
    <xf numFmtId="164" fontId="19" fillId="4" borderId="7" xfId="0" applyNumberFormat="1" applyFont="1" applyFill="1" applyBorder="1"/>
    <xf numFmtId="164" fontId="10" fillId="0" borderId="5" xfId="0" applyNumberFormat="1" applyFont="1" applyBorder="1"/>
    <xf numFmtId="164" fontId="10" fillId="0" borderId="10" xfId="0" applyNumberFormat="1" applyFont="1" applyBorder="1"/>
    <xf numFmtId="164" fontId="10" fillId="0" borderId="11" xfId="0" applyNumberFormat="1" applyFont="1" applyBorder="1"/>
    <xf numFmtId="164" fontId="19" fillId="0" borderId="2" xfId="0" applyNumberFormat="1" applyFont="1" applyBorder="1"/>
    <xf numFmtId="164" fontId="19" fillId="0" borderId="6" xfId="0" applyNumberFormat="1" applyFont="1" applyBorder="1"/>
    <xf numFmtId="164" fontId="19" fillId="0" borderId="7" xfId="0" applyNumberFormat="1" applyFont="1" applyBorder="1"/>
    <xf numFmtId="164" fontId="19" fillId="0" borderId="3" xfId="0" applyNumberFormat="1" applyFont="1" applyBorder="1"/>
    <xf numFmtId="164" fontId="19" fillId="0" borderId="8" xfId="0" applyNumberFormat="1" applyFont="1" applyBorder="1"/>
    <xf numFmtId="164" fontId="19" fillId="0" borderId="9" xfId="0" applyNumberFormat="1" applyFont="1" applyBorder="1"/>
    <xf numFmtId="0" fontId="51" fillId="0" borderId="0" xfId="3" applyFont="1" applyAlignment="1">
      <alignment horizontal="center"/>
    </xf>
    <xf numFmtId="0" fontId="48" fillId="0" borderId="0" xfId="3" applyFont="1" applyAlignment="1">
      <alignment horizontal="center"/>
    </xf>
    <xf numFmtId="0" fontId="0" fillId="0" borderId="0" xfId="0" applyAlignment="1">
      <alignment horizontal="center"/>
    </xf>
    <xf numFmtId="0" fontId="48" fillId="0" borderId="0" xfId="0" applyFont="1" applyAlignment="1">
      <alignment horizontal="center"/>
    </xf>
    <xf numFmtId="0" fontId="49" fillId="0" borderId="0" xfId="0" applyFont="1" applyAlignment="1">
      <alignment horizontal="center"/>
    </xf>
    <xf numFmtId="0" fontId="44" fillId="0" borderId="0" xfId="0" applyFont="1" applyAlignment="1">
      <alignment horizontal="center"/>
    </xf>
    <xf numFmtId="0" fontId="0" fillId="0" borderId="16" xfId="0" applyBorder="1" applyAlignment="1">
      <alignment horizontal="left" vertical="center" wrapText="1"/>
    </xf>
    <xf numFmtId="0" fontId="28" fillId="5" borderId="44" xfId="0" applyFont="1" applyFill="1" applyBorder="1" applyAlignment="1">
      <alignment horizontal="center"/>
    </xf>
    <xf numFmtId="0" fontId="28" fillId="5" borderId="48" xfId="0" applyFont="1" applyFill="1" applyBorder="1" applyAlignment="1">
      <alignment horizontal="center"/>
    </xf>
    <xf numFmtId="0" fontId="28" fillId="5" borderId="40" xfId="0" applyFont="1" applyFill="1" applyBorder="1" applyAlignment="1">
      <alignment horizontal="center"/>
    </xf>
  </cellXfs>
  <cellStyles count="5">
    <cellStyle name="Hypertextový odkaz" xfId="4" builtinId="8"/>
    <cellStyle name="Normální" xfId="0" builtinId="0"/>
    <cellStyle name="normální 2" xfId="1" xr:uid="{00000000-0005-0000-0000-000002000000}"/>
    <cellStyle name="normální_DM_2007_01_Iterace" xfId="3" xr:uid="{00000000-0005-0000-0000-000003000000}"/>
    <cellStyle name="Procenta" xfId="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FFCC"/>
      <color rgb="FFFFFF99"/>
      <color rgb="FF800000"/>
      <color rgb="FFEAF1DD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</xdr:colOff>
      <xdr:row>44</xdr:row>
      <xdr:rowOff>180975</xdr:rowOff>
    </xdr:from>
    <xdr:to>
      <xdr:col>5</xdr:col>
      <xdr:colOff>371475</xdr:colOff>
      <xdr:row>48</xdr:row>
      <xdr:rowOff>66675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SpPr txBox="1"/>
      </xdr:nvSpPr>
      <xdr:spPr>
        <a:xfrm>
          <a:off x="4429125" y="9601200"/>
          <a:ext cx="1666875" cy="685800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cs-CZ" sz="1100"/>
            <a:t>Rozdíl v MVA oproti předchozímu případu = zůstatková cena aktivace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</xdr:colOff>
      <xdr:row>46</xdr:row>
      <xdr:rowOff>161925</xdr:rowOff>
    </xdr:from>
    <xdr:to>
      <xdr:col>5</xdr:col>
      <xdr:colOff>371475</xdr:colOff>
      <xdr:row>50</xdr:row>
      <xdr:rowOff>142875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SpPr txBox="1"/>
      </xdr:nvSpPr>
      <xdr:spPr>
        <a:xfrm>
          <a:off x="4429125" y="9963150"/>
          <a:ext cx="1666875" cy="781050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cs-CZ" sz="1100"/>
            <a:t>Rozdíl v MVA oproti předchozímu případu = hodnota goodwillu k datu ocenění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38102</xdr:colOff>
      <xdr:row>69</xdr:row>
      <xdr:rowOff>28575</xdr:rowOff>
    </xdr:from>
    <xdr:to>
      <xdr:col>6</xdr:col>
      <xdr:colOff>609601</xdr:colOff>
      <xdr:row>71</xdr:row>
      <xdr:rowOff>47625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1C00-000002000000}"/>
            </a:ext>
          </a:extLst>
        </xdr:cNvPr>
        <xdr:cNvSpPr txBox="1"/>
      </xdr:nvSpPr>
      <xdr:spPr>
        <a:xfrm>
          <a:off x="5105402" y="15049500"/>
          <a:ext cx="2162174" cy="419100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cs-CZ" sz="1000"/>
            <a:t>NOA je vyšší o zůstatkovou hodnotu leasingového majetku</a:t>
          </a:r>
          <a:r>
            <a:rPr lang="cs-CZ" sz="1000" baseline="0"/>
            <a:t> k datu ocenění</a:t>
          </a:r>
        </a:p>
      </xdr:txBody>
    </xdr:sp>
    <xdr:clientData/>
  </xdr:twoCellAnchor>
  <xdr:twoCellAnchor>
    <xdr:from>
      <xdr:col>4</xdr:col>
      <xdr:colOff>28577</xdr:colOff>
      <xdr:row>71</xdr:row>
      <xdr:rowOff>104774</xdr:rowOff>
    </xdr:from>
    <xdr:to>
      <xdr:col>6</xdr:col>
      <xdr:colOff>600076</xdr:colOff>
      <xdr:row>73</xdr:row>
      <xdr:rowOff>133349</xdr:rowOff>
    </xdr:to>
    <xdr:sp macro="" textlink="">
      <xdr:nvSpPr>
        <xdr:cNvPr id="3" name="TextovéPole 2">
          <a:extLst>
            <a:ext uri="{FF2B5EF4-FFF2-40B4-BE49-F238E27FC236}">
              <a16:creationId xmlns:a16="http://schemas.microsoft.com/office/drawing/2014/main" id="{00000000-0008-0000-1C00-000003000000}"/>
            </a:ext>
          </a:extLst>
        </xdr:cNvPr>
        <xdr:cNvSpPr txBox="1"/>
      </xdr:nvSpPr>
      <xdr:spPr>
        <a:xfrm>
          <a:off x="5095877" y="15525749"/>
          <a:ext cx="2162174" cy="428625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cs-CZ" sz="1000"/>
            <a:t>CK je vyšší o stav leasingového závazku</a:t>
          </a:r>
          <a:r>
            <a:rPr lang="cs-CZ" sz="1000" baseline="0"/>
            <a:t> k datu ocenění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OC2_kap06_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Úvod"/>
      <sheetName val="1 Aktiva"/>
      <sheetName val="1 Pasiva"/>
      <sheetName val="1 Výsledovka"/>
      <sheetName val="1 Cash flow"/>
      <sheetName val="1 Informace"/>
      <sheetName val="1 Společné úpravy - NOA"/>
      <sheetName val="1 WACC"/>
      <sheetName val="1 Společné úpravy - H"/>
      <sheetName val="2 Pasiva rezervy"/>
      <sheetName val="2 Výsledovka rezervy"/>
      <sheetName val="2 Cash flow rezervy"/>
      <sheetName val="2 Rezervy - NOA"/>
      <sheetName val="2 Rezervy VK - H"/>
      <sheetName val="2 Rezervy CK - H"/>
      <sheetName val="3 Marketing"/>
      <sheetName val="3 Marketing - NOA"/>
      <sheetName val="3 Marketing - H"/>
      <sheetName val="4 Aktiva goodwill"/>
      <sheetName val="4 Goodwill"/>
      <sheetName val="4 Goodwill - NOA"/>
      <sheetName val="4 Goodwill - H"/>
      <sheetName val="5 Leasing"/>
      <sheetName val="5 Leas - NOA"/>
      <sheetName val="5 WACC leas"/>
      <sheetName val="5 Leas - H"/>
      <sheetName val="5 Leas - H koment"/>
      <sheetName val="5a Leasing difer"/>
      <sheetName val="5a Leas - NOA"/>
      <sheetName val="5a Bez Leas - NOA"/>
      <sheetName val="5a WACC leas"/>
      <sheetName val="5a Leas entity - H"/>
      <sheetName val="5a Leas - H equity"/>
      <sheetName val="5a Bez Leas - H equity"/>
      <sheetName val="5b WACC bez leas iterace"/>
      <sheetName val="5b WACC leas iterace"/>
      <sheetName val="5b Bez Leas - H entity iter"/>
      <sheetName val="5b Bez Leas - H equity iter"/>
      <sheetName val="5b Leas - H entity iter"/>
      <sheetName val="5b Leas - H equity, APV iter"/>
      <sheetName val="6 WACC leas iterace g"/>
      <sheetName val="6 Leas - H entity iter g"/>
      <sheetName val="6 Leas - H equity, APV ite g"/>
      <sheetName val="4-5 Mimořádné - NOA"/>
      <sheetName val="4-5 Mimořádné - H"/>
    </sheetNames>
    <sheetDataSet>
      <sheetData sheetId="0" refreshError="1"/>
      <sheetData sheetId="1">
        <row r="2">
          <cell r="B2">
            <v>2011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9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1"/>
  <sheetViews>
    <sheetView showGridLines="0" tabSelected="1" workbookViewId="0">
      <selection sqref="A1:I1"/>
    </sheetView>
  </sheetViews>
  <sheetFormatPr defaultRowHeight="15.75" x14ac:dyDescent="0.25"/>
  <sheetData>
    <row r="1" spans="1:9" s="230" customFormat="1" x14ac:dyDescent="0.25">
      <c r="A1" s="598"/>
      <c r="B1" s="598"/>
      <c r="C1" s="598"/>
      <c r="D1" s="598"/>
      <c r="E1" s="598"/>
      <c r="F1" s="598"/>
      <c r="G1" s="598"/>
      <c r="H1" s="598"/>
      <c r="I1" s="598"/>
    </row>
    <row r="2" spans="1:9" s="230" customFormat="1" ht="21" customHeight="1" x14ac:dyDescent="0.25">
      <c r="A2" s="599" t="s">
        <v>209</v>
      </c>
      <c r="B2" s="599"/>
      <c r="C2" s="599"/>
      <c r="D2" s="599"/>
      <c r="E2" s="599"/>
      <c r="F2" s="599"/>
      <c r="G2" s="599"/>
      <c r="H2" s="599"/>
      <c r="I2" s="599"/>
    </row>
    <row r="3" spans="1:9" s="231" customFormat="1" ht="23.25" customHeight="1" x14ac:dyDescent="0.25">
      <c r="A3" s="600" t="s">
        <v>210</v>
      </c>
      <c r="B3" s="600"/>
      <c r="C3" s="600"/>
      <c r="D3" s="600"/>
      <c r="E3" s="600"/>
      <c r="F3" s="600"/>
      <c r="G3" s="600"/>
      <c r="H3" s="600"/>
      <c r="I3" s="600"/>
    </row>
    <row r="4" spans="1:9" s="230" customFormat="1" ht="15" customHeight="1" x14ac:dyDescent="0.2">
      <c r="A4" s="601" t="s">
        <v>394</v>
      </c>
      <c r="B4" s="601"/>
      <c r="C4" s="601"/>
      <c r="D4" s="601"/>
      <c r="E4" s="601"/>
      <c r="F4" s="601"/>
      <c r="G4" s="601"/>
      <c r="H4" s="601"/>
      <c r="I4" s="601"/>
    </row>
    <row r="5" spans="1:9" s="230" customFormat="1" ht="15.75" customHeight="1" x14ac:dyDescent="0.2">
      <c r="A5" s="601" t="s">
        <v>395</v>
      </c>
      <c r="B5" s="601"/>
      <c r="C5" s="601"/>
      <c r="D5" s="601"/>
      <c r="E5" s="601"/>
      <c r="F5" s="601"/>
      <c r="G5" s="601"/>
      <c r="H5" s="601"/>
      <c r="I5" s="601"/>
    </row>
    <row r="6" spans="1:9" s="230" customFormat="1" ht="21.75" customHeight="1" x14ac:dyDescent="0.2">
      <c r="A6" s="232"/>
      <c r="B6" s="232"/>
      <c r="C6" s="232"/>
      <c r="D6" s="232"/>
      <c r="E6" s="232"/>
      <c r="F6" s="232"/>
      <c r="G6" s="232"/>
      <c r="H6" s="232"/>
      <c r="I6" s="232"/>
    </row>
    <row r="7" spans="1:9" s="230" customFormat="1" ht="15" x14ac:dyDescent="0.25">
      <c r="A7" s="597" t="s">
        <v>211</v>
      </c>
      <c r="B7" s="597"/>
      <c r="C7" s="597"/>
      <c r="D7" s="597"/>
      <c r="E7" s="597"/>
      <c r="F7" s="597"/>
      <c r="G7" s="597"/>
      <c r="H7" s="597"/>
      <c r="I7" s="597"/>
    </row>
    <row r="8" spans="1:9" s="230" customFormat="1" ht="19.5" customHeight="1" x14ac:dyDescent="0.25">
      <c r="A8" s="596" t="s">
        <v>212</v>
      </c>
      <c r="B8" s="596"/>
      <c r="C8" s="596"/>
      <c r="D8" s="596"/>
      <c r="E8" s="596"/>
      <c r="F8" s="596"/>
      <c r="G8" s="596"/>
      <c r="H8" s="596"/>
      <c r="I8" s="596"/>
    </row>
    <row r="9" spans="1:9" s="230" customFormat="1" ht="12.75" customHeight="1" x14ac:dyDescent="0.25">
      <c r="A9" s="596"/>
      <c r="B9" s="596"/>
      <c r="C9" s="596"/>
      <c r="D9" s="596"/>
      <c r="E9" s="596"/>
      <c r="F9" s="596"/>
      <c r="G9" s="596"/>
      <c r="H9" s="596"/>
      <c r="I9" s="596"/>
    </row>
    <row r="10" spans="1:9" s="230" customFormat="1" ht="12.75" x14ac:dyDescent="0.2">
      <c r="A10" s="232"/>
      <c r="B10" s="232"/>
      <c r="C10" s="232"/>
      <c r="D10" s="232"/>
      <c r="E10" s="232"/>
      <c r="F10" s="232"/>
      <c r="G10" s="232"/>
      <c r="H10" s="232"/>
      <c r="I10" s="232"/>
    </row>
    <row r="11" spans="1:9" s="230" customFormat="1" ht="15" x14ac:dyDescent="0.25">
      <c r="A11" s="597" t="s">
        <v>396</v>
      </c>
      <c r="B11" s="597"/>
      <c r="C11" s="597"/>
      <c r="D11" s="597"/>
      <c r="E11" s="597"/>
      <c r="F11" s="597"/>
      <c r="G11" s="597"/>
      <c r="H11" s="597"/>
      <c r="I11" s="597"/>
    </row>
    <row r="12" spans="1:9" ht="23.25" customHeight="1" x14ac:dyDescent="0.25">
      <c r="A12" s="597" t="s">
        <v>213</v>
      </c>
      <c r="B12" s="597"/>
      <c r="C12" s="597"/>
      <c r="D12" s="597"/>
      <c r="E12" s="597"/>
      <c r="F12" s="597"/>
      <c r="G12" s="597"/>
      <c r="H12" s="597"/>
      <c r="I12" s="597"/>
    </row>
    <row r="13" spans="1:9" s="230" customFormat="1" ht="12.75" x14ac:dyDescent="0.2"/>
    <row r="14" spans="1:9" s="230" customFormat="1" ht="12.75" x14ac:dyDescent="0.2">
      <c r="B14" s="339" t="s">
        <v>241</v>
      </c>
    </row>
    <row r="15" spans="1:9" s="230" customFormat="1" ht="12.75" x14ac:dyDescent="0.2">
      <c r="B15" s="230" t="s">
        <v>214</v>
      </c>
    </row>
    <row r="16" spans="1:9" s="230" customFormat="1" ht="12.75" x14ac:dyDescent="0.2"/>
    <row r="17" spans="2:2" s="230" customFormat="1" ht="12.75" x14ac:dyDescent="0.2">
      <c r="B17" s="338" t="s">
        <v>240</v>
      </c>
    </row>
    <row r="18" spans="2:2" s="230" customFormat="1" ht="12.75" x14ac:dyDescent="0.2">
      <c r="B18" s="230" t="s">
        <v>239</v>
      </c>
    </row>
    <row r="19" spans="2:2" s="230" customFormat="1" ht="12.75" x14ac:dyDescent="0.2"/>
    <row r="20" spans="2:2" s="230" customFormat="1" ht="12.75" x14ac:dyDescent="0.2">
      <c r="B20" s="230" t="s">
        <v>215</v>
      </c>
    </row>
    <row r="21" spans="2:2" s="230" customFormat="1" ht="12.75" x14ac:dyDescent="0.2">
      <c r="B21" s="230" t="s">
        <v>216</v>
      </c>
    </row>
    <row r="23" spans="2:2" x14ac:dyDescent="0.25">
      <c r="B23" s="233" t="s">
        <v>217</v>
      </c>
    </row>
    <row r="24" spans="2:2" x14ac:dyDescent="0.25">
      <c r="B24" s="233" t="s">
        <v>218</v>
      </c>
    </row>
    <row r="25" spans="2:2" ht="20.25" customHeight="1" x14ac:dyDescent="0.25">
      <c r="B25" s="234" t="s">
        <v>219</v>
      </c>
    </row>
    <row r="26" spans="2:2" x14ac:dyDescent="0.25">
      <c r="B26" s="235" t="s">
        <v>220</v>
      </c>
    </row>
    <row r="27" spans="2:2" ht="20.25" customHeight="1" x14ac:dyDescent="0.25">
      <c r="B27" s="234" t="s">
        <v>221</v>
      </c>
    </row>
    <row r="28" spans="2:2" x14ac:dyDescent="0.25">
      <c r="B28" s="235" t="s">
        <v>222</v>
      </c>
    </row>
    <row r="29" spans="2:2" x14ac:dyDescent="0.25">
      <c r="B29" s="235" t="s">
        <v>223</v>
      </c>
    </row>
    <row r="30" spans="2:2" x14ac:dyDescent="0.25">
      <c r="B30" s="235" t="s">
        <v>224</v>
      </c>
    </row>
    <row r="31" spans="2:2" ht="23.25" customHeight="1" x14ac:dyDescent="0.25">
      <c r="B31" s="236" t="s">
        <v>225</v>
      </c>
    </row>
  </sheetData>
  <mergeCells count="10">
    <mergeCell ref="A8:I8"/>
    <mergeCell ref="A9:I9"/>
    <mergeCell ref="A11:I11"/>
    <mergeCell ref="A12:I12"/>
    <mergeCell ref="A1:I1"/>
    <mergeCell ref="A2:I2"/>
    <mergeCell ref="A3:I3"/>
    <mergeCell ref="A4:I4"/>
    <mergeCell ref="A5:I5"/>
    <mergeCell ref="A7:I7"/>
  </mergeCells>
  <pageMargins left="0.78740157480314965" right="0.78740157480314965" top="0.98425196850393704" bottom="0.78740157480314965" header="0.51181102362204722" footer="0.51181102362204722"/>
  <pageSetup paperSize="9" scale="98" orientation="portrait" r:id="rId1"/>
  <headerFooter alignWithMargins="0">
    <oddHeader>&amp;L&amp;"Arial CE,Obyčejné"&amp;10Mařík, M. a kol.: Metody oceňování podniku pro pokročilé
Ekopress 2023&amp;R&amp;"Arial CE,Obyčejné"&amp;10Příklad: Vzájemná shoda metod DCF a EVA</oddHeader>
    <oddFooter>&amp;C&amp;"Arial CE,Obyčejné"&amp;10&amp;A - str. &amp;P&amp;R&amp;"Arial CE,Obyčejné"&amp;10©  Miloš Mařík, Pavla Maříková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indexed="43"/>
    <pageSetUpPr fitToPage="1"/>
  </sheetPr>
  <dimension ref="A1:L68"/>
  <sheetViews>
    <sheetView showGridLines="0" workbookViewId="0">
      <selection activeCell="E1" sqref="E1"/>
    </sheetView>
  </sheetViews>
  <sheetFormatPr defaultRowHeight="15.75" x14ac:dyDescent="0.25"/>
  <cols>
    <col min="1" max="1" width="40.625" customWidth="1"/>
    <col min="2" max="5" width="8.625" customWidth="1"/>
    <col min="6" max="6" width="5.5" customWidth="1"/>
    <col min="7" max="7" width="3" customWidth="1"/>
  </cols>
  <sheetData>
    <row r="1" spans="1:5" ht="18.75" x14ac:dyDescent="0.3">
      <c r="A1" s="554" t="s">
        <v>398</v>
      </c>
      <c r="E1" s="555" t="s">
        <v>290</v>
      </c>
    </row>
    <row r="2" spans="1:5" ht="20.25" customHeight="1" x14ac:dyDescent="0.25">
      <c r="A2" s="3" t="s">
        <v>236</v>
      </c>
    </row>
    <row r="3" spans="1:5" x14ac:dyDescent="0.25">
      <c r="A3" s="130" t="str">
        <f>"Výsledky hospodaření v roce "&amp;FIXED(rok+4,0,1)&amp;" budou stejné jako v roce "&amp;FIXED(rok+3,0,1)</f>
        <v>Výsledky hospodaření v roce 2026 budou stejné jako v roce 2025</v>
      </c>
    </row>
    <row r="4" spans="1:5" x14ac:dyDescent="0.25">
      <c r="A4" s="165" t="s">
        <v>152</v>
      </c>
      <c r="B4" s="164">
        <f>'1 Společné úpravy - WACC'!B6</f>
        <v>0.19</v>
      </c>
      <c r="C4" s="164">
        <f>'1 Společné úpravy - WACC'!C6</f>
        <v>0.19</v>
      </c>
      <c r="D4" s="164">
        <f>'1 Společné úpravy - WACC'!D6</f>
        <v>0.19</v>
      </c>
      <c r="E4" s="164">
        <f>'1 Společné úpravy - WACC'!E6</f>
        <v>0.19</v>
      </c>
    </row>
    <row r="6" spans="1:5" x14ac:dyDescent="0.25">
      <c r="A6" s="2" t="s">
        <v>234</v>
      </c>
    </row>
    <row r="7" spans="1:5" ht="31.5" x14ac:dyDescent="0.25">
      <c r="A7" s="301"/>
      <c r="B7" s="302">
        <f>rok+1</f>
        <v>2023</v>
      </c>
      <c r="C7" s="302">
        <f>B7+1</f>
        <v>2024</v>
      </c>
      <c r="D7" s="302">
        <f>C7+1</f>
        <v>2025</v>
      </c>
      <c r="E7" s="300" t="str">
        <f>FIXED(D7+1,0,1)&amp;" 2.fáze"</f>
        <v>2026 2.fáze</v>
      </c>
    </row>
    <row r="8" spans="1:5" x14ac:dyDescent="0.25">
      <c r="A8" s="88" t="s">
        <v>114</v>
      </c>
      <c r="B8" s="133">
        <f>'1 Výsledovka'!C9</f>
        <v>23984.600000000006</v>
      </c>
      <c r="C8" s="81">
        <f>'1 Výsledovka'!D9</f>
        <v>23466</v>
      </c>
      <c r="D8" s="81">
        <f>'1 Výsledovka'!E9</f>
        <v>29477</v>
      </c>
      <c r="E8" s="81">
        <f>D8</f>
        <v>29477</v>
      </c>
    </row>
    <row r="9" spans="1:5" x14ac:dyDescent="0.25">
      <c r="A9" s="89" t="s">
        <v>249</v>
      </c>
      <c r="B9" s="167">
        <f>SUM(B8:B8)</f>
        <v>23984.600000000006</v>
      </c>
      <c r="C9" s="82">
        <f>SUM(C8:C8)</f>
        <v>23466</v>
      </c>
      <c r="D9" s="82">
        <f>SUM(D8:D8)</f>
        <v>29477</v>
      </c>
      <c r="E9" s="82">
        <f>SUM(E8:E8)</f>
        <v>29477</v>
      </c>
    </row>
    <row r="10" spans="1:5" x14ac:dyDescent="0.25">
      <c r="A10" s="88" t="s">
        <v>84</v>
      </c>
      <c r="B10" s="133">
        <f>B9*B4</f>
        <v>4557.0740000000014</v>
      </c>
      <c r="C10" s="81">
        <f>C9*C4</f>
        <v>4458.54</v>
      </c>
      <c r="D10" s="81">
        <f>D9*D4</f>
        <v>5600.63</v>
      </c>
      <c r="E10" s="81">
        <f>E9*E4</f>
        <v>5600.63</v>
      </c>
    </row>
    <row r="11" spans="1:5" x14ac:dyDescent="0.25">
      <c r="A11" s="303" t="s">
        <v>248</v>
      </c>
      <c r="B11" s="304">
        <f>B9-B10</f>
        <v>19427.526000000005</v>
      </c>
      <c r="C11" s="305">
        <f>C9-C10</f>
        <v>19007.46</v>
      </c>
      <c r="D11" s="305">
        <f>D9-D10</f>
        <v>23876.37</v>
      </c>
      <c r="E11" s="305">
        <f>E9-E10</f>
        <v>23876.37</v>
      </c>
    </row>
    <row r="12" spans="1:5" x14ac:dyDescent="0.25">
      <c r="B12" s="108"/>
    </row>
    <row r="13" spans="1:5" x14ac:dyDescent="0.25">
      <c r="A13" s="2" t="s">
        <v>235</v>
      </c>
    </row>
    <row r="14" spans="1:5" ht="31.5" x14ac:dyDescent="0.25">
      <c r="A14" s="301"/>
      <c r="B14" s="302">
        <f>rok+1</f>
        <v>2023</v>
      </c>
      <c r="C14" s="302">
        <f>B14+1</f>
        <v>2024</v>
      </c>
      <c r="D14" s="302">
        <f>C14+1</f>
        <v>2025</v>
      </c>
      <c r="E14" s="300" t="str">
        <f>FIXED(D14+1,0,1)&amp;" 2.fáze"</f>
        <v>2026 2.fáze</v>
      </c>
    </row>
    <row r="15" spans="1:5" x14ac:dyDescent="0.25">
      <c r="A15" s="88" t="s">
        <v>114</v>
      </c>
      <c r="B15" s="133">
        <f>'1 Výsledovka'!C9</f>
        <v>23984.600000000006</v>
      </c>
      <c r="C15" s="81">
        <f>'1 Výsledovka'!D9</f>
        <v>23466</v>
      </c>
      <c r="D15" s="81">
        <f>'1 Výsledovka'!E9</f>
        <v>29477</v>
      </c>
      <c r="E15" s="81">
        <f>D15</f>
        <v>29477</v>
      </c>
    </row>
    <row r="16" spans="1:5" x14ac:dyDescent="0.25">
      <c r="A16" s="89" t="s">
        <v>101</v>
      </c>
      <c r="B16" s="167">
        <f>SUM(B15:B15)</f>
        <v>23984.600000000006</v>
      </c>
      <c r="C16" s="82">
        <f>SUM(C15:C15)</f>
        <v>23466</v>
      </c>
      <c r="D16" s="82">
        <f>SUM(D15:D15)</f>
        <v>29477</v>
      </c>
      <c r="E16" s="82">
        <f>SUM(E15:E15)</f>
        <v>29477</v>
      </c>
    </row>
    <row r="17" spans="1:5" x14ac:dyDescent="0.25">
      <c r="A17" s="88" t="s">
        <v>84</v>
      </c>
      <c r="B17" s="133">
        <f>B10</f>
        <v>4557.0740000000014</v>
      </c>
      <c r="C17" s="81">
        <f>C10</f>
        <v>4458.54</v>
      </c>
      <c r="D17" s="81">
        <f>D10</f>
        <v>5600.63</v>
      </c>
      <c r="E17" s="81">
        <f>E10</f>
        <v>5600.63</v>
      </c>
    </row>
    <row r="18" spans="1:5" x14ac:dyDescent="0.25">
      <c r="A18" s="303" t="s">
        <v>233</v>
      </c>
      <c r="B18" s="304">
        <f>B16-B17</f>
        <v>19427.526000000005</v>
      </c>
      <c r="C18" s="305">
        <f>C16-C17</f>
        <v>19007.46</v>
      </c>
      <c r="D18" s="305">
        <f>D16-D17</f>
        <v>23876.37</v>
      </c>
      <c r="E18" s="305">
        <f>E16-E17</f>
        <v>23876.37</v>
      </c>
    </row>
    <row r="19" spans="1:5" x14ac:dyDescent="0.25">
      <c r="B19" s="108"/>
    </row>
    <row r="20" spans="1:5" x14ac:dyDescent="0.25">
      <c r="A20" s="3" t="s">
        <v>262</v>
      </c>
    </row>
    <row r="22" spans="1:5" x14ac:dyDescent="0.25">
      <c r="A22" s="2" t="s">
        <v>85</v>
      </c>
      <c r="C22" s="108"/>
    </row>
    <row r="23" spans="1:5" ht="31.5" x14ac:dyDescent="0.25">
      <c r="A23" s="301"/>
      <c r="B23" s="302">
        <f>B7</f>
        <v>2023</v>
      </c>
      <c r="C23" s="302">
        <f>C7</f>
        <v>2024</v>
      </c>
      <c r="D23" s="302">
        <f>D7</f>
        <v>2025</v>
      </c>
      <c r="E23" s="300" t="str">
        <f>E7</f>
        <v>2026 2.fáze</v>
      </c>
    </row>
    <row r="24" spans="1:5" x14ac:dyDescent="0.25">
      <c r="A24" s="169" t="s">
        <v>109</v>
      </c>
      <c r="B24" s="41">
        <f>B11</f>
        <v>19427.526000000005</v>
      </c>
      <c r="C24" s="41">
        <f>C11</f>
        <v>19007.46</v>
      </c>
      <c r="D24" s="41">
        <f>D11</f>
        <v>23876.37</v>
      </c>
      <c r="E24" s="41">
        <f>E11</f>
        <v>23876.37</v>
      </c>
    </row>
    <row r="25" spans="1:5" x14ac:dyDescent="0.25">
      <c r="A25" s="74" t="s">
        <v>82</v>
      </c>
      <c r="B25" s="168">
        <f>'1 Společné úpravy - WACC'!B28</f>
        <v>9.557296502733692E-2</v>
      </c>
      <c r="C25" s="168">
        <f>'1 Společné úpravy - WACC'!C28</f>
        <v>9.3572921150700442E-2</v>
      </c>
      <c r="D25" s="168">
        <f>'1 Společné úpravy - WACC'!D28</f>
        <v>9.3083259169047722E-2</v>
      </c>
      <c r="E25" s="168">
        <f>'1 Společné úpravy - WACC'!E28</f>
        <v>9.361151329528053E-2</v>
      </c>
    </row>
    <row r="26" spans="1:5" x14ac:dyDescent="0.25">
      <c r="A26" s="74" t="s">
        <v>153</v>
      </c>
      <c r="B26" s="124">
        <f>'1 Společné úpravy - NOA'!G20</f>
        <v>67473.600000000006</v>
      </c>
      <c r="C26" s="124">
        <f>'1 Společné úpravy - NOA'!H20</f>
        <v>75205.799999999988</v>
      </c>
      <c r="D26" s="124">
        <f>'1 Společné úpravy - NOA'!I20</f>
        <v>82698.399999999994</v>
      </c>
      <c r="E26" s="124">
        <f>'1 Společné úpravy - NOA'!J20</f>
        <v>85052.400000000023</v>
      </c>
    </row>
    <row r="27" spans="1:5" x14ac:dyDescent="0.25">
      <c r="A27" s="107" t="s">
        <v>237</v>
      </c>
      <c r="B27" s="133">
        <f>B25*B26</f>
        <v>6448.6520130685212</v>
      </c>
      <c r="C27" s="133">
        <f>C25*C26</f>
        <v>7037.2263934753464</v>
      </c>
      <c r="D27" s="133">
        <f>D25*D26</f>
        <v>7697.836600065576</v>
      </c>
      <c r="E27" s="133">
        <f>E25*E26</f>
        <v>7961.8838733955199</v>
      </c>
    </row>
    <row r="28" spans="1:5" x14ac:dyDescent="0.25">
      <c r="A28" s="303" t="s">
        <v>86</v>
      </c>
      <c r="B28" s="304">
        <f>B24-B27</f>
        <v>12978.873986931485</v>
      </c>
      <c r="C28" s="304">
        <f>C24-C27</f>
        <v>11970.233606524653</v>
      </c>
      <c r="D28" s="304">
        <f>D24-D27</f>
        <v>16178.533399934422</v>
      </c>
      <c r="E28" s="304">
        <f>E24-E27</f>
        <v>15914.486126604479</v>
      </c>
    </row>
    <row r="30" spans="1:5" x14ac:dyDescent="0.25">
      <c r="A30" s="2" t="s">
        <v>87</v>
      </c>
    </row>
    <row r="31" spans="1:5" ht="31.5" x14ac:dyDescent="0.25">
      <c r="A31" s="301"/>
      <c r="B31" s="302">
        <f>rok+1</f>
        <v>2023</v>
      </c>
      <c r="C31" s="302">
        <f>B31+1</f>
        <v>2024</v>
      </c>
      <c r="D31" s="302">
        <f>C31+1</f>
        <v>2025</v>
      </c>
      <c r="E31" s="300" t="str">
        <f>FIXED(D31+1,0,1)&amp;" 2.fáze"</f>
        <v>2026 2.fáze</v>
      </c>
    </row>
    <row r="32" spans="1:5" x14ac:dyDescent="0.25">
      <c r="A32" s="77" t="s">
        <v>88</v>
      </c>
      <c r="B32" s="79">
        <f>B28</f>
        <v>12978.873986931485</v>
      </c>
      <c r="C32" s="79">
        <f>C28</f>
        <v>11970.233606524653</v>
      </c>
      <c r="D32" s="79">
        <f>D28</f>
        <v>16178.533399934422</v>
      </c>
      <c r="E32" s="79">
        <f>E28</f>
        <v>15914.486126604479</v>
      </c>
    </row>
    <row r="33" spans="1:5" x14ac:dyDescent="0.25">
      <c r="A33" s="78" t="s">
        <v>82</v>
      </c>
      <c r="B33" s="171">
        <f>B25</f>
        <v>9.557296502733692E-2</v>
      </c>
      <c r="C33" s="171">
        <f>C25</f>
        <v>9.3572921150700442E-2</v>
      </c>
      <c r="D33" s="171">
        <f>D25</f>
        <v>9.3083259169047722E-2</v>
      </c>
      <c r="E33" s="171">
        <f>E25</f>
        <v>9.361151329528053E-2</v>
      </c>
    </row>
    <row r="34" spans="1:5" x14ac:dyDescent="0.25">
      <c r="A34" s="78" t="s">
        <v>145</v>
      </c>
      <c r="B34" s="101">
        <f>1/(1+B33)</f>
        <v>0.91276439992752822</v>
      </c>
      <c r="C34" s="101">
        <f>B34/(1+C33)</f>
        <v>0.83466258378735425</v>
      </c>
      <c r="D34" s="101">
        <f>C34/(1+D33)</f>
        <v>0.76358555195681743</v>
      </c>
      <c r="E34" s="129"/>
    </row>
    <row r="35" spans="1:5" x14ac:dyDescent="0.25">
      <c r="A35" s="78" t="s">
        <v>89</v>
      </c>
      <c r="B35" s="81">
        <f>B32*B34</f>
        <v>11846.654126416523</v>
      </c>
      <c r="C35" s="81">
        <f>C32*C34</f>
        <v>9991.1061105600875</v>
      </c>
      <c r="D35" s="81">
        <f>D32*D34</f>
        <v>12353.694356040733</v>
      </c>
      <c r="E35" s="108"/>
    </row>
    <row r="37" spans="1:5" x14ac:dyDescent="0.25">
      <c r="A37" s="2" t="s">
        <v>90</v>
      </c>
    </row>
    <row r="38" spans="1:5" x14ac:dyDescent="0.25">
      <c r="A38" s="40" t="s">
        <v>91</v>
      </c>
      <c r="B38" s="102">
        <f>E32/E33</f>
        <v>170005.6495871947</v>
      </c>
    </row>
    <row r="39" spans="1:5" x14ac:dyDescent="0.25">
      <c r="A39" s="77" t="s">
        <v>92</v>
      </c>
      <c r="B39" s="79">
        <f>B38*D34</f>
        <v>129813.85777581536</v>
      </c>
    </row>
    <row r="40" spans="1:5" x14ac:dyDescent="0.25">
      <c r="A40" s="78" t="s">
        <v>93</v>
      </c>
      <c r="B40" s="81">
        <f>SUM(B35:D35)</f>
        <v>34191.454593017341</v>
      </c>
    </row>
    <row r="41" spans="1:5" x14ac:dyDescent="0.25">
      <c r="A41" s="104" t="s">
        <v>94</v>
      </c>
      <c r="B41" s="105">
        <f>B39+B40</f>
        <v>164005.3123688327</v>
      </c>
    </row>
    <row r="42" spans="1:5" x14ac:dyDescent="0.25">
      <c r="A42" s="78" t="s">
        <v>154</v>
      </c>
      <c r="B42" s="81">
        <f>'1 Společné úpravy - NOA'!G20</f>
        <v>67473.600000000006</v>
      </c>
    </row>
    <row r="43" spans="1:5" x14ac:dyDescent="0.25">
      <c r="A43" s="172" t="s">
        <v>95</v>
      </c>
      <c r="B43" s="173">
        <f>B41+B42</f>
        <v>231478.91236883271</v>
      </c>
    </row>
    <row r="44" spans="1:5" x14ac:dyDescent="0.25">
      <c r="A44" s="78" t="s">
        <v>96</v>
      </c>
      <c r="B44" s="81">
        <f>'1 Společné úpravy - NOA'!G7</f>
        <v>36773</v>
      </c>
    </row>
    <row r="45" spans="1:5" x14ac:dyDescent="0.25">
      <c r="A45" s="103" t="s">
        <v>97</v>
      </c>
      <c r="B45" s="82">
        <f>B43-B44</f>
        <v>194705.91236883271</v>
      </c>
    </row>
    <row r="46" spans="1:5" x14ac:dyDescent="0.25">
      <c r="A46" s="78" t="s">
        <v>98</v>
      </c>
      <c r="B46" s="81">
        <f>'1 Společné úpravy - NOA'!G16</f>
        <v>33629.003499999999</v>
      </c>
    </row>
    <row r="47" spans="1:5" x14ac:dyDescent="0.25">
      <c r="A47" s="306" t="s">
        <v>199</v>
      </c>
      <c r="B47" s="307">
        <f>B45+B46</f>
        <v>228334.9158688327</v>
      </c>
    </row>
    <row r="49" spans="1:12" x14ac:dyDescent="0.25">
      <c r="A49" s="3" t="s">
        <v>263</v>
      </c>
    </row>
    <row r="50" spans="1:12" x14ac:dyDescent="0.25">
      <c r="A50" s="3"/>
    </row>
    <row r="51" spans="1:12" x14ac:dyDescent="0.25">
      <c r="A51" s="2" t="s">
        <v>87</v>
      </c>
    </row>
    <row r="52" spans="1:12" ht="31.5" x14ac:dyDescent="0.25">
      <c r="A52" s="301"/>
      <c r="B52" s="302">
        <f>rok+1</f>
        <v>2023</v>
      </c>
      <c r="C52" s="302">
        <f>B52+1</f>
        <v>2024</v>
      </c>
      <c r="D52" s="302">
        <f>C52+1</f>
        <v>2025</v>
      </c>
      <c r="E52" s="300" t="str">
        <f>FIXED(D52+1,0,1)&amp;" 2.fáze"</f>
        <v>2026 2.fáze</v>
      </c>
    </row>
    <row r="53" spans="1:12" x14ac:dyDescent="0.25">
      <c r="A53" s="87" t="s">
        <v>141</v>
      </c>
      <c r="B53" s="136">
        <f>B18</f>
        <v>19427.526000000005</v>
      </c>
      <c r="C53" s="136">
        <f>C18</f>
        <v>19007.46</v>
      </c>
      <c r="D53" s="136">
        <f>D18</f>
        <v>23876.37</v>
      </c>
      <c r="E53" s="136">
        <f>E18</f>
        <v>23876.37</v>
      </c>
    </row>
    <row r="54" spans="1:12" x14ac:dyDescent="0.25">
      <c r="A54" s="78" t="s">
        <v>110</v>
      </c>
      <c r="B54" s="81">
        <f>-('1 Společné úpravy - NOA'!H20-'1 Společné úpravy - NOA'!G20)</f>
        <v>-7732.1999999999825</v>
      </c>
      <c r="C54" s="81">
        <f>-('1 Společné úpravy - NOA'!I20-'1 Společné úpravy - NOA'!H20)</f>
        <v>-7492.6000000000058</v>
      </c>
      <c r="D54" s="81">
        <f>-('1 Společné úpravy - NOA'!J20-'1 Společné úpravy - NOA'!I20)</f>
        <v>-2354.0000000000291</v>
      </c>
      <c r="E54" s="81">
        <v>0</v>
      </c>
      <c r="I54" s="108"/>
      <c r="J54" s="108"/>
      <c r="K54" s="108"/>
      <c r="L54" s="108"/>
    </row>
    <row r="55" spans="1:12" x14ac:dyDescent="0.25">
      <c r="A55" s="308" t="s">
        <v>111</v>
      </c>
      <c r="B55" s="309">
        <f>SUM(B53:B54)</f>
        <v>11695.326000000023</v>
      </c>
      <c r="C55" s="309">
        <f>SUM(C53:C54)</f>
        <v>11514.859999999993</v>
      </c>
      <c r="D55" s="309">
        <f>SUM(D53:D54)</f>
        <v>21522.36999999997</v>
      </c>
      <c r="E55" s="309">
        <f>SUM(E53:E54)</f>
        <v>23876.37</v>
      </c>
      <c r="I55" s="108"/>
      <c r="J55" s="108"/>
      <c r="K55" s="108"/>
      <c r="L55" s="108"/>
    </row>
    <row r="56" spans="1:12" x14ac:dyDescent="0.25">
      <c r="A56" s="78" t="s">
        <v>82</v>
      </c>
      <c r="B56" s="170">
        <f>B33</f>
        <v>9.557296502733692E-2</v>
      </c>
      <c r="C56" s="170">
        <f>C33</f>
        <v>9.3572921150700442E-2</v>
      </c>
      <c r="D56" s="170">
        <f>D33</f>
        <v>9.3083259169047722E-2</v>
      </c>
      <c r="E56" s="170">
        <f>E33</f>
        <v>9.361151329528053E-2</v>
      </c>
    </row>
    <row r="57" spans="1:12" x14ac:dyDescent="0.25">
      <c r="A57" s="78" t="s">
        <v>156</v>
      </c>
      <c r="B57" s="101">
        <f>1/(1+B56)</f>
        <v>0.91276439992752822</v>
      </c>
      <c r="C57" s="101">
        <f>B57/(1+C56)</f>
        <v>0.83466258378735425</v>
      </c>
      <c r="D57" s="101">
        <f>C57/(1+D56)</f>
        <v>0.76358555195681743</v>
      </c>
      <c r="E57" s="129"/>
    </row>
    <row r="58" spans="1:12" x14ac:dyDescent="0.25">
      <c r="A58" s="78" t="s">
        <v>112</v>
      </c>
      <c r="B58" s="81">
        <f>B55*B57</f>
        <v>10675.07721834684</v>
      </c>
      <c r="C58" s="81">
        <f>C55*C57</f>
        <v>9611.022799549648</v>
      </c>
      <c r="D58" s="81">
        <f>D55*D57</f>
        <v>16434.170775868824</v>
      </c>
      <c r="E58" s="108"/>
    </row>
    <row r="59" spans="1:12" x14ac:dyDescent="0.25">
      <c r="B59" s="108"/>
      <c r="C59" s="108"/>
      <c r="D59" s="108"/>
      <c r="E59" s="108"/>
    </row>
    <row r="60" spans="1:12" x14ac:dyDescent="0.25">
      <c r="A60" s="2" t="s">
        <v>160</v>
      </c>
    </row>
    <row r="61" spans="1:12" x14ac:dyDescent="0.25">
      <c r="A61" s="40" t="s">
        <v>91</v>
      </c>
      <c r="B61" s="174">
        <f>E55/E56</f>
        <v>255058.04958719472</v>
      </c>
    </row>
    <row r="62" spans="1:12" x14ac:dyDescent="0.25">
      <c r="A62" s="77" t="s">
        <v>92</v>
      </c>
      <c r="B62" s="79">
        <f>B61*D57</f>
        <v>194758.64157506739</v>
      </c>
    </row>
    <row r="63" spans="1:12" x14ac:dyDescent="0.25">
      <c r="A63" s="78" t="s">
        <v>93</v>
      </c>
      <c r="B63" s="81">
        <f>SUM(B58:D58)</f>
        <v>36720.270793765318</v>
      </c>
    </row>
    <row r="64" spans="1:12" x14ac:dyDescent="0.25">
      <c r="A64" s="172" t="s">
        <v>95</v>
      </c>
      <c r="B64" s="173">
        <f>B62+B63</f>
        <v>231478.91236883271</v>
      </c>
    </row>
    <row r="65" spans="1:2" x14ac:dyDescent="0.25">
      <c r="A65" s="78" t="s">
        <v>96</v>
      </c>
      <c r="B65" s="81">
        <f>'1 Společné úpravy - NOA'!G7</f>
        <v>36773</v>
      </c>
    </row>
    <row r="66" spans="1:2" x14ac:dyDescent="0.25">
      <c r="A66" s="103" t="s">
        <v>97</v>
      </c>
      <c r="B66" s="82">
        <f>B64-B65</f>
        <v>194705.91236883271</v>
      </c>
    </row>
    <row r="67" spans="1:2" x14ac:dyDescent="0.25">
      <c r="A67" s="78" t="s">
        <v>98</v>
      </c>
      <c r="B67" s="81">
        <f>'1 Společné úpravy - NOA'!G16</f>
        <v>33629.003499999999</v>
      </c>
    </row>
    <row r="68" spans="1:2" x14ac:dyDescent="0.25">
      <c r="A68" s="306" t="s">
        <v>199</v>
      </c>
      <c r="B68" s="307">
        <f>B66+B67</f>
        <v>228334.9158688327</v>
      </c>
    </row>
  </sheetData>
  <phoneticPr fontId="0" type="noConversion"/>
  <hyperlinks>
    <hyperlink ref="E1" location="Obsah!A1" display="Skok na obsah" xr:uid="{00000000-0004-0000-0900-000000000000}"/>
  </hyperlinks>
  <printOptions gridLinesSet="0"/>
  <pageMargins left="0.78740157480314965" right="0.78740157480314965" top="0.98425196850393704" bottom="0.78740157480314965" header="0.51181102362204722" footer="0.51181102362204722"/>
  <pageSetup paperSize="9" scale="63" orientation="portrait" r:id="rId1"/>
  <headerFooter alignWithMargins="0">
    <oddHeader>&amp;L&amp;"Arial CE,Obyčejné"&amp;10Mařík, M. a kol.: Metody oceňování podniku pro pokročilé
Ekopress 2023&amp;R&amp;"Arial CE,Obyčejné"&amp;10Příklad: Vzájemná shoda metod DCF a EVA</oddHeader>
    <oddFooter>&amp;C&amp;"Arial CE,Obyčejné"&amp;10&amp;A - str. &amp;P&amp;R&amp;"Arial CE,Obyčejné"&amp;10©  Miloš Mařík, Pavla Maříková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E18"/>
  <sheetViews>
    <sheetView showGridLines="0" workbookViewId="0"/>
  </sheetViews>
  <sheetFormatPr defaultRowHeight="15.75" x14ac:dyDescent="0.25"/>
  <cols>
    <col min="1" max="1" width="35.625" customWidth="1"/>
  </cols>
  <sheetData>
    <row r="1" spans="1:5" ht="18.75" x14ac:dyDescent="0.3">
      <c r="A1" s="554" t="s">
        <v>399</v>
      </c>
      <c r="E1" s="555" t="s">
        <v>290</v>
      </c>
    </row>
    <row r="2" spans="1:5" ht="20.25" customHeight="1" thickBot="1" x14ac:dyDescent="0.3">
      <c r="A2" s="10" t="s">
        <v>137</v>
      </c>
      <c r="B2" s="4"/>
      <c r="C2" s="4"/>
      <c r="D2" s="4"/>
    </row>
    <row r="3" spans="1:5" ht="16.5" thickBot="1" x14ac:dyDescent="0.3">
      <c r="A3" s="237" t="s">
        <v>11</v>
      </c>
      <c r="B3" s="238">
        <f>'1 Aktiva'!B3</f>
        <v>2022</v>
      </c>
      <c r="C3" s="239">
        <f>'1 Aktiva'!C3</f>
        <v>2023</v>
      </c>
      <c r="D3" s="240">
        <f>'1 Aktiva'!D3</f>
        <v>2024</v>
      </c>
      <c r="E3" s="241">
        <f>'1 Aktiva'!E3</f>
        <v>2025</v>
      </c>
    </row>
    <row r="4" spans="1:5" ht="16.5" thickBot="1" x14ac:dyDescent="0.3">
      <c r="A4" s="15" t="s">
        <v>12</v>
      </c>
      <c r="B4" s="96">
        <f>(B11+B5)</f>
        <v>130634.6035</v>
      </c>
      <c r="C4" s="29">
        <f>(C11+C5)</f>
        <v>156392.62299999999</v>
      </c>
      <c r="D4" s="29">
        <f>(D11+D5)</f>
        <v>175289.94949999999</v>
      </c>
      <c r="E4" s="30">
        <f>(E11+E5)</f>
        <v>195644.38150000002</v>
      </c>
    </row>
    <row r="5" spans="1:5" x14ac:dyDescent="0.25">
      <c r="A5" s="13" t="s">
        <v>13</v>
      </c>
      <c r="B5" s="90">
        <f>SUM(B6:B10)</f>
        <v>63429.603499999997</v>
      </c>
      <c r="C5" s="17">
        <f>SUM(C6:C10)</f>
        <v>76899.622999999992</v>
      </c>
      <c r="D5" s="17">
        <f>SUM(D6:D10)</f>
        <v>90365.949499999988</v>
      </c>
      <c r="E5" s="18">
        <f>SUM(E6:E10)</f>
        <v>108100.3815</v>
      </c>
    </row>
    <row r="6" spans="1:5" x14ac:dyDescent="0.25">
      <c r="A6" s="7" t="s">
        <v>14</v>
      </c>
      <c r="B6" s="97">
        <f>'1 Pasiva'!B6</f>
        <v>20000</v>
      </c>
      <c r="C6" s="31">
        <f>'1 Pasiva'!C6</f>
        <v>20000</v>
      </c>
      <c r="D6" s="31">
        <f>'1 Pasiva'!D6</f>
        <v>20000</v>
      </c>
      <c r="E6" s="32">
        <f>'1 Pasiva'!E6</f>
        <v>20000</v>
      </c>
    </row>
    <row r="7" spans="1:5" x14ac:dyDescent="0.25">
      <c r="A7" s="7" t="s">
        <v>379</v>
      </c>
      <c r="B7" s="97">
        <f>'1 Pasiva'!B7</f>
        <v>6000</v>
      </c>
      <c r="C7" s="31">
        <f>'1 Pasiva'!C7</f>
        <v>6000</v>
      </c>
      <c r="D7" s="31">
        <f>'1 Pasiva'!D7</f>
        <v>6000</v>
      </c>
      <c r="E7" s="32">
        <f>'1 Pasiva'!E7</f>
        <v>6000</v>
      </c>
    </row>
    <row r="8" spans="1:5" x14ac:dyDescent="0.25">
      <c r="A8" s="7" t="s">
        <v>380</v>
      </c>
      <c r="B8" s="97">
        <f>'1 Pasiva'!B8</f>
        <v>4000</v>
      </c>
      <c r="C8" s="31">
        <f>'1 Pasiva'!C8</f>
        <v>4000</v>
      </c>
      <c r="D8" s="31">
        <f>'1 Pasiva'!D8</f>
        <v>4000</v>
      </c>
      <c r="E8" s="32">
        <f>'1 Pasiva'!E8</f>
        <v>4000</v>
      </c>
    </row>
    <row r="9" spans="1:5" x14ac:dyDescent="0.25">
      <c r="A9" s="7" t="s">
        <v>15</v>
      </c>
      <c r="B9" s="251">
        <v>17271</v>
      </c>
      <c r="C9" s="31">
        <f>B9+'2 Rezervy - Výsledovka'!B18-(C8-B8)</f>
        <v>28429.603499999997</v>
      </c>
      <c r="D9" s="31">
        <f>C9+'2 Rezervy - Výsledovka'!C18</f>
        <v>41899.623</v>
      </c>
      <c r="E9" s="32">
        <f>D9+'2 Rezervy - Výsledovka'!D18</f>
        <v>55365.949500000002</v>
      </c>
    </row>
    <row r="10" spans="1:5" ht="16.5" thickBot="1" x14ac:dyDescent="0.3">
      <c r="A10" s="5" t="s">
        <v>381</v>
      </c>
      <c r="B10" s="91">
        <f>'2 Rezervy - Výsledovka'!B16</f>
        <v>16158.603499999999</v>
      </c>
      <c r="C10" s="19">
        <f>'2 Rezervy - Výsledovka'!C16</f>
        <v>18470.019500000002</v>
      </c>
      <c r="D10" s="19">
        <f>'2 Rezervy - Výsledovka'!D16</f>
        <v>18466.326500000003</v>
      </c>
      <c r="E10" s="20">
        <f>'2 Rezervy - Výsledovka'!E16</f>
        <v>22734.432000000001</v>
      </c>
    </row>
    <row r="11" spans="1:5" x14ac:dyDescent="0.25">
      <c r="A11" s="13" t="s">
        <v>382</v>
      </c>
      <c r="B11" s="94">
        <f>B12+B13+B16</f>
        <v>67205</v>
      </c>
      <c r="C11" s="25">
        <f t="shared" ref="C11:E11" si="0">C12+C13+C16</f>
        <v>79493</v>
      </c>
      <c r="D11" s="25">
        <f t="shared" si="0"/>
        <v>84924</v>
      </c>
      <c r="E11" s="26">
        <f t="shared" si="0"/>
        <v>87544</v>
      </c>
    </row>
    <row r="12" spans="1:5" x14ac:dyDescent="0.25">
      <c r="A12" s="310" t="s">
        <v>392</v>
      </c>
      <c r="B12" s="311">
        <v>900</v>
      </c>
      <c r="C12" s="312">
        <v>1000</v>
      </c>
      <c r="D12" s="312">
        <v>500</v>
      </c>
      <c r="E12" s="313">
        <v>500</v>
      </c>
    </row>
    <row r="13" spans="1:5" x14ac:dyDescent="0.25">
      <c r="A13" s="5" t="s">
        <v>383</v>
      </c>
      <c r="B13" s="581">
        <f>B14+B15</f>
        <v>36773</v>
      </c>
      <c r="C13" s="582">
        <f t="shared" ref="C13:E13" si="1">C14+C15</f>
        <v>41307</v>
      </c>
      <c r="D13" s="582">
        <f t="shared" si="1"/>
        <v>43796</v>
      </c>
      <c r="E13" s="583">
        <f t="shared" si="1"/>
        <v>43796</v>
      </c>
    </row>
    <row r="14" spans="1:5" x14ac:dyDescent="0.25">
      <c r="A14" s="577" t="s">
        <v>384</v>
      </c>
      <c r="B14" s="590">
        <f>'1 Pasiva'!B13</f>
        <v>8000</v>
      </c>
      <c r="C14" s="591">
        <f>B14</f>
        <v>8000</v>
      </c>
      <c r="D14" s="591">
        <f>C14</f>
        <v>8000</v>
      </c>
      <c r="E14" s="592">
        <f>D14</f>
        <v>8000</v>
      </c>
    </row>
    <row r="15" spans="1:5" x14ac:dyDescent="0.25">
      <c r="A15" s="443" t="s">
        <v>385</v>
      </c>
      <c r="B15" s="593">
        <f>'1 Pasiva'!B14</f>
        <v>28773</v>
      </c>
      <c r="C15" s="594">
        <f>'1 Pasiva'!C14</f>
        <v>33307</v>
      </c>
      <c r="D15" s="594">
        <f>'1 Pasiva'!D14</f>
        <v>35796</v>
      </c>
      <c r="E15" s="595">
        <f>'1 Pasiva'!E14</f>
        <v>35796</v>
      </c>
    </row>
    <row r="16" spans="1:5" x14ac:dyDescent="0.25">
      <c r="A16" s="5" t="s">
        <v>386</v>
      </c>
      <c r="B16" s="91">
        <f>B17+B18</f>
        <v>29532</v>
      </c>
      <c r="C16" s="19">
        <f>C17+C18</f>
        <v>37186</v>
      </c>
      <c r="D16" s="19">
        <f>D17+D18</f>
        <v>40628</v>
      </c>
      <c r="E16" s="20">
        <f>E17+E18</f>
        <v>43248</v>
      </c>
    </row>
    <row r="17" spans="1:5" x14ac:dyDescent="0.25">
      <c r="A17" s="6" t="s">
        <v>387</v>
      </c>
      <c r="B17" s="92">
        <f>'1 Pasiva'!B16</f>
        <v>24821</v>
      </c>
      <c r="C17" s="21">
        <f>'1 Pasiva'!C16</f>
        <v>30591</v>
      </c>
      <c r="D17" s="21">
        <f>'1 Pasiva'!D16</f>
        <v>32884</v>
      </c>
      <c r="E17" s="22">
        <f>'1 Pasiva'!E16</f>
        <v>34987</v>
      </c>
    </row>
    <row r="18" spans="1:5" ht="16.5" thickBot="1" x14ac:dyDescent="0.3">
      <c r="A18" s="14" t="s">
        <v>388</v>
      </c>
      <c r="B18" s="95">
        <f>'1 Pasiva'!B17</f>
        <v>4711</v>
      </c>
      <c r="C18" s="27">
        <f>'1 Pasiva'!C17</f>
        <v>6595</v>
      </c>
      <c r="D18" s="27">
        <f>'1 Pasiva'!D17</f>
        <v>7744</v>
      </c>
      <c r="E18" s="28">
        <f>'1 Pasiva'!E17</f>
        <v>8261</v>
      </c>
    </row>
  </sheetData>
  <phoneticPr fontId="0" type="noConversion"/>
  <hyperlinks>
    <hyperlink ref="E1" location="Obsah!A1" display="Skok na obsah" xr:uid="{00000000-0004-0000-0A00-000000000000}"/>
  </hyperlinks>
  <printOptions gridLinesSet="0"/>
  <pageMargins left="0.78740157480314965" right="0.78740157480314965" top="0.98425196850393704" bottom="0.78740157480314965" header="0.51181102362204722" footer="0.51181102362204722"/>
  <pageSetup paperSize="9" orientation="portrait" r:id="rId1"/>
  <headerFooter alignWithMargins="0">
    <oddHeader>&amp;L&amp;"Arial CE,Obyčejné"&amp;10Mařík, M. a kol.: Metody oceňování podniku pro pokročilé
Ekopress 2023&amp;R&amp;"Arial CE,Obyčejné"&amp;10Příklad: Vzájemná shoda metod DCF a EVA</oddHeader>
    <oddFooter>&amp;C&amp;"Arial CE,Obyčejné"&amp;10&amp;A - str. &amp;P&amp;R&amp;"Arial CE,Obyčejné"&amp;10©  Miloš Mařík, Pavla Maříková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E19"/>
  <sheetViews>
    <sheetView showGridLines="0" workbookViewId="0"/>
  </sheetViews>
  <sheetFormatPr defaultRowHeight="15.75" x14ac:dyDescent="0.25"/>
  <cols>
    <col min="1" max="1" width="35.625" customWidth="1"/>
    <col min="3" max="3" width="9.125" bestFit="1" customWidth="1"/>
  </cols>
  <sheetData>
    <row r="1" spans="1:5" ht="18.75" x14ac:dyDescent="0.3">
      <c r="A1" s="554" t="s">
        <v>399</v>
      </c>
      <c r="E1" s="555" t="s">
        <v>290</v>
      </c>
    </row>
    <row r="2" spans="1:5" ht="20.25" customHeight="1" thickBot="1" x14ac:dyDescent="0.3">
      <c r="A2" s="10" t="s">
        <v>138</v>
      </c>
      <c r="B2" s="4"/>
      <c r="C2" s="4"/>
      <c r="D2" s="4"/>
    </row>
    <row r="3" spans="1:5" ht="16.5" thickBot="1" x14ac:dyDescent="0.3">
      <c r="A3" s="237" t="s">
        <v>17</v>
      </c>
      <c r="B3" s="238">
        <f>'1 Aktiva'!B3</f>
        <v>2022</v>
      </c>
      <c r="C3" s="239">
        <f>'1 Aktiva'!C3</f>
        <v>2023</v>
      </c>
      <c r="D3" s="240">
        <f>'1 Aktiva'!D3</f>
        <v>2024</v>
      </c>
      <c r="E3" s="241">
        <f>'1 Aktiva'!E3</f>
        <v>2025</v>
      </c>
    </row>
    <row r="4" spans="1:5" ht="16.5" thickBot="1" x14ac:dyDescent="0.3">
      <c r="A4" s="137" t="s">
        <v>16</v>
      </c>
      <c r="B4" s="138">
        <f>'1 Výsledovka'!B4</f>
        <v>0.19</v>
      </c>
      <c r="C4" s="139">
        <f>'1 Výsledovka'!C4</f>
        <v>0.19</v>
      </c>
      <c r="D4" s="139">
        <f>'1 Výsledovka'!D4</f>
        <v>0.19</v>
      </c>
      <c r="E4" s="140">
        <f>'1 Výsledovka'!E4</f>
        <v>0.19</v>
      </c>
    </row>
    <row r="5" spans="1:5" x14ac:dyDescent="0.25">
      <c r="A5" s="5" t="s">
        <v>389</v>
      </c>
      <c r="B5" s="91">
        <f>'1 Výsledovka'!B5</f>
        <v>165048</v>
      </c>
      <c r="C5" s="19">
        <f>'1 Výsledovka'!C5</f>
        <v>214112.6</v>
      </c>
      <c r="D5" s="19">
        <f>'1 Výsledovka'!D5</f>
        <v>236244</v>
      </c>
      <c r="E5" s="20">
        <f>'1 Výsledovka'!E5</f>
        <v>251643</v>
      </c>
    </row>
    <row r="6" spans="1:5" x14ac:dyDescent="0.25">
      <c r="A6" s="6" t="s">
        <v>116</v>
      </c>
      <c r="B6" s="92">
        <f>'1 Výsledovka'!B6</f>
        <v>105004</v>
      </c>
      <c r="C6" s="21">
        <f>'1 Výsledovka'!C6</f>
        <v>143404</v>
      </c>
      <c r="D6" s="21">
        <f>'1 Výsledovka'!D6</f>
        <v>155483</v>
      </c>
      <c r="E6" s="22">
        <f>'1 Výsledovka'!E6</f>
        <v>161142</v>
      </c>
    </row>
    <row r="7" spans="1:5" x14ac:dyDescent="0.25">
      <c r="A7" s="6" t="s">
        <v>117</v>
      </c>
      <c r="B7" s="92">
        <f>'1 Výsledovka'!B7</f>
        <v>34413</v>
      </c>
      <c r="C7" s="21">
        <f>'1 Výsledovka'!C7</f>
        <v>42224</v>
      </c>
      <c r="D7" s="21">
        <f>'1 Výsledovka'!D7</f>
        <v>52295</v>
      </c>
      <c r="E7" s="22">
        <f>'1 Výsledovka'!E7</f>
        <v>55524</v>
      </c>
    </row>
    <row r="8" spans="1:5" x14ac:dyDescent="0.25">
      <c r="A8" s="317" t="s">
        <v>113</v>
      </c>
      <c r="B8" s="314">
        <f>C8</f>
        <v>100</v>
      </c>
      <c r="C8" s="315">
        <f>'2 Rezervy - Pasiva'!C12-'2 Rezervy - Pasiva'!B12</f>
        <v>100</v>
      </c>
      <c r="D8" s="315">
        <f>'2 Rezervy - Pasiva'!D12-'2 Rezervy - Pasiva'!C12</f>
        <v>-500</v>
      </c>
      <c r="E8" s="316">
        <f>'2 Rezervy - Pasiva'!E12-'2 Rezervy - Pasiva'!D12</f>
        <v>0</v>
      </c>
    </row>
    <row r="9" spans="1:5" x14ac:dyDescent="0.25">
      <c r="A9" s="6" t="s">
        <v>390</v>
      </c>
      <c r="B9" s="92">
        <f>'1 Výsledovka'!B8</f>
        <v>5000</v>
      </c>
      <c r="C9" s="21">
        <f>'1 Výsledovka'!C8</f>
        <v>4500</v>
      </c>
      <c r="D9" s="21">
        <f>'1 Výsledovka'!D8</f>
        <v>5000</v>
      </c>
      <c r="E9" s="22">
        <f>'1 Výsledovka'!E8</f>
        <v>5500</v>
      </c>
    </row>
    <row r="10" spans="1:5" x14ac:dyDescent="0.25">
      <c r="A10" s="7" t="s">
        <v>118</v>
      </c>
      <c r="B10" s="146">
        <f>B5-SUM(B6:B9)</f>
        <v>20531</v>
      </c>
      <c r="C10" s="31">
        <f>C5-SUM(C6:C9)</f>
        <v>23884.600000000006</v>
      </c>
      <c r="D10" s="31">
        <f>D5-SUM(D6:D9)</f>
        <v>23966</v>
      </c>
      <c r="E10" s="147">
        <f>E5-SUM(E6:E9)</f>
        <v>29477</v>
      </c>
    </row>
    <row r="11" spans="1:5" x14ac:dyDescent="0.25">
      <c r="A11" s="6" t="s">
        <v>19</v>
      </c>
      <c r="B11" s="92">
        <f>'1 Výsledovka'!$B$21*'1 Aktiva'!B20+'1 Výsledovka'!$B$20*'1 Aktiva'!B11</f>
        <v>700</v>
      </c>
      <c r="C11" s="21">
        <f>'1 Výsledovka'!$B$21*'1 Aktiva'!C20+'1 Výsledovka'!$B$20*'1 Aktiva'!C11</f>
        <v>700</v>
      </c>
      <c r="D11" s="21">
        <f>'1 Výsledovka'!$B$21*'1 Aktiva'!D20+'1 Výsledovka'!$B$20*'1 Aktiva'!D11</f>
        <v>700</v>
      </c>
      <c r="E11" s="22">
        <f>'1 Výsledovka'!$B$21*'1 Aktiva'!E20+'1 Výsledovka'!$B$20*'1 Aktiva'!E11</f>
        <v>700</v>
      </c>
    </row>
    <row r="12" spans="1:5" x14ac:dyDescent="0.25">
      <c r="A12" s="6" t="s">
        <v>20</v>
      </c>
      <c r="B12" s="92">
        <f>'1 Výsledovka'!$B$22*'1 Pasiva'!B13+'1 Výsledovka'!$B$23*'1 Pasiva'!B14-500</f>
        <v>1258.6500000000001</v>
      </c>
      <c r="C12" s="21">
        <f>'1 Výsledovka'!$B$22*'1 Pasiva'!B13+'1 Výsledovka'!$B$23*'1 Pasiva'!B14</f>
        <v>1758.65</v>
      </c>
      <c r="D12" s="21">
        <f>'1 Výsledovka'!$B$22*'1 Pasiva'!C13+'1 Výsledovka'!$B$23*'1 Pasiva'!C14</f>
        <v>1985.3500000000001</v>
      </c>
      <c r="E12" s="22">
        <f>'1 Výsledovka'!$B$22*'1 Pasiva'!D13+'1 Výsledovka'!$B$23*'1 Pasiva'!D14</f>
        <v>2109.8000000000002</v>
      </c>
    </row>
    <row r="13" spans="1:5" x14ac:dyDescent="0.25">
      <c r="A13" s="7" t="s">
        <v>119</v>
      </c>
      <c r="B13" s="97">
        <f>B11-B12</f>
        <v>-558.65000000000009</v>
      </c>
      <c r="C13" s="31">
        <f>C11-C12</f>
        <v>-1058.6500000000001</v>
      </c>
      <c r="D13" s="31">
        <f>D11-D12</f>
        <v>-1285.3500000000001</v>
      </c>
      <c r="E13" s="32">
        <f>E11-E12</f>
        <v>-1409.8000000000002</v>
      </c>
    </row>
    <row r="14" spans="1:5" x14ac:dyDescent="0.25">
      <c r="A14" s="8" t="s">
        <v>391</v>
      </c>
      <c r="B14" s="99">
        <f>B10+B13</f>
        <v>19972.349999999999</v>
      </c>
      <c r="C14" s="35">
        <f>C10+C13</f>
        <v>22825.950000000004</v>
      </c>
      <c r="D14" s="35">
        <f>D10+D13</f>
        <v>22680.65</v>
      </c>
      <c r="E14" s="36">
        <f>E10+E13</f>
        <v>28067.200000000001</v>
      </c>
    </row>
    <row r="15" spans="1:5" x14ac:dyDescent="0.25">
      <c r="A15" s="6" t="s">
        <v>21</v>
      </c>
      <c r="B15" s="92">
        <f>(B14+B8)*B4</f>
        <v>3813.7464999999997</v>
      </c>
      <c r="C15" s="21">
        <f>(C14+C8)*C4</f>
        <v>4355.9305000000013</v>
      </c>
      <c r="D15" s="21">
        <f>(D14+D8)*D4</f>
        <v>4214.3235000000004</v>
      </c>
      <c r="E15" s="22">
        <f>(E14+E8)*E4</f>
        <v>5332.768</v>
      </c>
    </row>
    <row r="16" spans="1:5" x14ac:dyDescent="0.25">
      <c r="A16" s="8" t="s">
        <v>100</v>
      </c>
      <c r="B16" s="99">
        <f>B14-B15</f>
        <v>16158.603499999999</v>
      </c>
      <c r="C16" s="35">
        <f>C14-C15</f>
        <v>18470.019500000002</v>
      </c>
      <c r="D16" s="35">
        <f>D14-D15</f>
        <v>18466.326500000003</v>
      </c>
      <c r="E16" s="36">
        <f>E14-E15</f>
        <v>22734.432000000001</v>
      </c>
    </row>
    <row r="17" spans="1:5" x14ac:dyDescent="0.25">
      <c r="A17" s="6" t="s">
        <v>22</v>
      </c>
      <c r="B17" s="92">
        <f>'1 Výsledovka'!B16</f>
        <v>5000</v>
      </c>
      <c r="C17" s="21">
        <f>'1 Výsledovka'!C16</f>
        <v>5000</v>
      </c>
      <c r="D17" s="21">
        <f>'1 Výsledovka'!D16</f>
        <v>5000</v>
      </c>
      <c r="E17" s="22">
        <f>'1 Výsledovka'!E16</f>
        <v>5000</v>
      </c>
    </row>
    <row r="18" spans="1:5" ht="16.5" thickBot="1" x14ac:dyDescent="0.3">
      <c r="A18" s="9" t="s">
        <v>23</v>
      </c>
      <c r="B18" s="100">
        <f>B16-B17</f>
        <v>11158.603499999999</v>
      </c>
      <c r="C18" s="37">
        <f>C16-C17</f>
        <v>13470.019500000002</v>
      </c>
      <c r="D18" s="37">
        <f>D16-D17</f>
        <v>13466.326500000003</v>
      </c>
      <c r="E18" s="38">
        <f>E16-E17</f>
        <v>17734.432000000001</v>
      </c>
    </row>
    <row r="19" spans="1:5" x14ac:dyDescent="0.25">
      <c r="D19" s="108"/>
    </row>
  </sheetData>
  <phoneticPr fontId="0" type="noConversion"/>
  <hyperlinks>
    <hyperlink ref="E1" location="Obsah!A1" display="Skok na obsah" xr:uid="{00000000-0004-0000-0B00-000000000000}"/>
  </hyperlinks>
  <printOptions gridLinesSet="0"/>
  <pageMargins left="0.78740157480314965" right="0.78740157480314965" top="0.98425196850393704" bottom="0.78740157480314965" header="0.51181102362204722" footer="0.51181102362204722"/>
  <pageSetup paperSize="9" orientation="portrait" r:id="rId1"/>
  <headerFooter alignWithMargins="0">
    <oddHeader>&amp;L&amp;"Arial CE,Obyčejné"&amp;10Mařík, M. a kol.: Metody oceňování podniku pro pokročilé
Ekopress 2023&amp;R&amp;"Arial CE,Obyčejné"&amp;10Příklad: Vzájemná shoda metod DCF a EVA</oddHeader>
    <oddFooter>&amp;C&amp;"Arial CE,Obyčejné"&amp;10&amp;A - str. &amp;P&amp;R&amp;"Arial CE,Obyčejné"&amp;10©  Miloš Mařík, Pavla Maříková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E20"/>
  <sheetViews>
    <sheetView showGridLines="0" workbookViewId="0"/>
  </sheetViews>
  <sheetFormatPr defaultRowHeight="15.75" x14ac:dyDescent="0.25"/>
  <cols>
    <col min="1" max="1" width="30.625" customWidth="1"/>
  </cols>
  <sheetData>
    <row r="1" spans="1:5" ht="18.75" x14ac:dyDescent="0.3">
      <c r="A1" s="554" t="s">
        <v>399</v>
      </c>
      <c r="E1" s="555" t="s">
        <v>290</v>
      </c>
    </row>
    <row r="2" spans="1:5" ht="20.25" customHeight="1" thickBot="1" x14ac:dyDescent="0.3">
      <c r="A2" s="10" t="s">
        <v>139</v>
      </c>
      <c r="B2" s="4"/>
      <c r="C2" s="4"/>
    </row>
    <row r="3" spans="1:5" ht="16.5" thickBot="1" x14ac:dyDescent="0.3">
      <c r="A3" s="237" t="s">
        <v>17</v>
      </c>
      <c r="B3" s="239">
        <f>'1 Aktiva'!C3</f>
        <v>2023</v>
      </c>
      <c r="C3" s="240">
        <f>'1 Aktiva'!D3</f>
        <v>2024</v>
      </c>
      <c r="D3" s="241">
        <f>'1 Aktiva'!E3</f>
        <v>2025</v>
      </c>
    </row>
    <row r="4" spans="1:5" ht="16.5" thickBot="1" x14ac:dyDescent="0.3">
      <c r="A4" s="519" t="s">
        <v>130</v>
      </c>
      <c r="B4" s="520">
        <f>'1 Aktiva'!B21</f>
        <v>26488.603499999997</v>
      </c>
      <c r="C4" s="520">
        <f>B20</f>
        <v>39156.623</v>
      </c>
      <c r="D4" s="521">
        <f>C20</f>
        <v>48151.949500000002</v>
      </c>
    </row>
    <row r="5" spans="1:5" x14ac:dyDescent="0.25">
      <c r="A5" s="5" t="s">
        <v>198</v>
      </c>
      <c r="B5" s="19">
        <f>'2 Rezervy - Výsledovka'!C16</f>
        <v>18470.019500000002</v>
      </c>
      <c r="C5" s="19">
        <f>'2 Rezervy - Výsledovka'!D16</f>
        <v>18466.326500000003</v>
      </c>
      <c r="D5" s="20">
        <f>'2 Rezervy - Výsledovka'!E16</f>
        <v>22734.432000000001</v>
      </c>
    </row>
    <row r="6" spans="1:5" x14ac:dyDescent="0.25">
      <c r="A6" s="317" t="s">
        <v>120</v>
      </c>
      <c r="B6" s="315">
        <f>'2 Rezervy - Výsledovka'!C8</f>
        <v>100</v>
      </c>
      <c r="C6" s="315">
        <f>'2 Rezervy - Výsledovka'!D8</f>
        <v>-500</v>
      </c>
      <c r="D6" s="316">
        <f>'2 Rezervy - Výsledovka'!E8</f>
        <v>0</v>
      </c>
    </row>
    <row r="7" spans="1:5" x14ac:dyDescent="0.25">
      <c r="A7" s="6" t="s">
        <v>18</v>
      </c>
      <c r="B7" s="21">
        <f>'2 Rezervy - Výsledovka'!C9</f>
        <v>4500</v>
      </c>
      <c r="C7" s="21">
        <f>'2 Rezervy - Výsledovka'!D9</f>
        <v>5000</v>
      </c>
      <c r="D7" s="22">
        <f>'2 Rezervy - Výsledovka'!E9</f>
        <v>5500</v>
      </c>
    </row>
    <row r="8" spans="1:5" x14ac:dyDescent="0.25">
      <c r="A8" s="6" t="s">
        <v>121</v>
      </c>
      <c r="B8" s="21">
        <f>-('1 Aktiva'!C13-'1 Aktiva'!B13)</f>
        <v>-7341</v>
      </c>
      <c r="C8" s="21">
        <f>-('1 Aktiva'!D13-'1 Aktiva'!C13)</f>
        <v>-3795</v>
      </c>
      <c r="D8" s="22">
        <f>-('1 Aktiva'!E13-'1 Aktiva'!D13)</f>
        <v>-2228</v>
      </c>
    </row>
    <row r="9" spans="1:5" x14ac:dyDescent="0.25">
      <c r="A9" s="6" t="s">
        <v>122</v>
      </c>
      <c r="B9" s="21">
        <f>-('1 Aktiva'!C17-'1 Aktiva'!B17)</f>
        <v>-5100</v>
      </c>
      <c r="C9" s="21">
        <f>-('1 Aktiva'!D17-'1 Aktiva'!C17)</f>
        <v>-5107</v>
      </c>
      <c r="D9" s="22">
        <f>-('1 Aktiva'!E17-'1 Aktiva'!D17)</f>
        <v>-1960</v>
      </c>
    </row>
    <row r="10" spans="1:5" x14ac:dyDescent="0.25">
      <c r="A10" s="6" t="s">
        <v>133</v>
      </c>
      <c r="B10" s="21">
        <f>-('1 Aktiva'!C20-'1 Aktiva'!B20)</f>
        <v>0</v>
      </c>
      <c r="C10" s="21">
        <f>-('1 Aktiva'!D20-'1 Aktiva'!C20)</f>
        <v>0</v>
      </c>
      <c r="D10" s="22">
        <f>-('1 Aktiva'!E20-'1 Aktiva'!D20)</f>
        <v>0</v>
      </c>
    </row>
    <row r="11" spans="1:5" x14ac:dyDescent="0.25">
      <c r="A11" s="6" t="s">
        <v>123</v>
      </c>
      <c r="B11" s="21">
        <f>'1 Pasiva'!C15-'1 Pasiva'!B15</f>
        <v>7654</v>
      </c>
      <c r="C11" s="21">
        <f>'1 Pasiva'!D15-'1 Pasiva'!C15</f>
        <v>3442</v>
      </c>
      <c r="D11" s="22">
        <f>'1 Pasiva'!E15-'1 Pasiva'!D15</f>
        <v>2620</v>
      </c>
    </row>
    <row r="12" spans="1:5" s="1" customFormat="1" x14ac:dyDescent="0.25">
      <c r="A12" s="148" t="s">
        <v>124</v>
      </c>
      <c r="B12" s="149">
        <f>SUM(B5:B11)</f>
        <v>18283.019500000002</v>
      </c>
      <c r="C12" s="149">
        <f>SUM(C5:C11)</f>
        <v>17506.326500000003</v>
      </c>
      <c r="D12" s="150">
        <f>SUM(D5:D11)</f>
        <v>26666.432000000001</v>
      </c>
    </row>
    <row r="13" spans="1:5" x14ac:dyDescent="0.25">
      <c r="A13" s="6" t="s">
        <v>125</v>
      </c>
      <c r="B13" s="21">
        <f>-('1 Aktiva'!C5-'1 Aktiva'!B5+'1 Výsledovka'!C8)</f>
        <v>-5149</v>
      </c>
      <c r="C13" s="21">
        <f>-('1 Aktiva'!D5-'1 Aktiva'!C5+'1 Výsledovka'!D8)</f>
        <v>-6000</v>
      </c>
      <c r="D13" s="22">
        <f>-('1 Aktiva'!E5-'1 Aktiva'!D5+'1 Výsledovka'!E8)</f>
        <v>-5500</v>
      </c>
    </row>
    <row r="14" spans="1:5" x14ac:dyDescent="0.25">
      <c r="A14" s="6" t="s">
        <v>134</v>
      </c>
      <c r="B14" s="21">
        <v>0</v>
      </c>
      <c r="C14" s="21">
        <v>0</v>
      </c>
      <c r="D14" s="22">
        <v>0</v>
      </c>
    </row>
    <row r="15" spans="1:5" s="1" customFormat="1" x14ac:dyDescent="0.25">
      <c r="A15" s="148" t="s">
        <v>126</v>
      </c>
      <c r="B15" s="149">
        <f>B13+B14</f>
        <v>-5149</v>
      </c>
      <c r="C15" s="149">
        <f>C13+C14</f>
        <v>-6000</v>
      </c>
      <c r="D15" s="151">
        <f>D13+D14</f>
        <v>-5500</v>
      </c>
    </row>
    <row r="16" spans="1:5" x14ac:dyDescent="0.25">
      <c r="A16" s="6" t="s">
        <v>127</v>
      </c>
      <c r="B16" s="21">
        <f>-'1 Výsledovka'!B16</f>
        <v>-5000</v>
      </c>
      <c r="C16" s="21">
        <f>-'1 Výsledovka'!C16</f>
        <v>-5000</v>
      </c>
      <c r="D16" s="22">
        <f>-'1 Výsledovka'!D16</f>
        <v>-5000</v>
      </c>
    </row>
    <row r="17" spans="1:4" x14ac:dyDescent="0.25">
      <c r="A17" s="6" t="s">
        <v>128</v>
      </c>
      <c r="B17" s="21">
        <f>'1 Pasiva'!C13-'1 Pasiva'!B13+'1 Pasiva'!C14-'1 Pasiva'!B14</f>
        <v>4534</v>
      </c>
      <c r="C17" s="21">
        <f>'1 Pasiva'!D13-'1 Pasiva'!C13+'1 Pasiva'!D14-'1 Pasiva'!C14</f>
        <v>2489</v>
      </c>
      <c r="D17" s="22">
        <f>'1 Pasiva'!E13-'1 Pasiva'!D13+'1 Pasiva'!E14-'1 Pasiva'!D14</f>
        <v>0</v>
      </c>
    </row>
    <row r="18" spans="1:4" x14ac:dyDescent="0.25">
      <c r="A18" s="8" t="s">
        <v>129</v>
      </c>
      <c r="B18" s="35">
        <f>B16+B17</f>
        <v>-466</v>
      </c>
      <c r="C18" s="35">
        <f>C16+C17</f>
        <v>-2511</v>
      </c>
      <c r="D18" s="36">
        <f>D16+D17</f>
        <v>-5000</v>
      </c>
    </row>
    <row r="19" spans="1:4" ht="16.5" thickBot="1" x14ac:dyDescent="0.3">
      <c r="A19" s="8" t="s">
        <v>132</v>
      </c>
      <c r="B19" s="35">
        <f>B12+B15+B18</f>
        <v>12668.019500000002</v>
      </c>
      <c r="C19" s="35">
        <f>C12+C15+C18</f>
        <v>8995.3265000000029</v>
      </c>
      <c r="D19" s="36">
        <f>D12+D15+D18</f>
        <v>16166.432000000001</v>
      </c>
    </row>
    <row r="20" spans="1:4" ht="16.5" thickBot="1" x14ac:dyDescent="0.3">
      <c r="A20" s="519" t="s">
        <v>131</v>
      </c>
      <c r="B20" s="520">
        <f>B4+B19</f>
        <v>39156.623</v>
      </c>
      <c r="C20" s="520">
        <f>C4+C19</f>
        <v>48151.949500000002</v>
      </c>
      <c r="D20" s="521">
        <f>D4+D19</f>
        <v>64318.381500000003</v>
      </c>
    </row>
  </sheetData>
  <phoneticPr fontId="0" type="noConversion"/>
  <hyperlinks>
    <hyperlink ref="E1" location="Obsah!A1" display="Skok na obsah" xr:uid="{00000000-0004-0000-0C00-000000000000}"/>
  </hyperlinks>
  <printOptions gridLinesSet="0"/>
  <pageMargins left="0.78740157480314965" right="0.78740157480314965" top="0.98425196850393704" bottom="0.78740157480314965" header="0.51181102362204722" footer="0.51181102362204722"/>
  <pageSetup paperSize="9" orientation="portrait" r:id="rId1"/>
  <headerFooter alignWithMargins="0">
    <oddHeader>&amp;L&amp;"Arial CE,Obyčejné"&amp;10Mařík, M. a kol.: Metody oceňování podniku pro pokročilé
Ekopress 2023&amp;R&amp;"Arial CE,Obyčejné"&amp;10Příklad: Vzájemná shoda metod DCF a EVA</oddHeader>
    <oddFooter>&amp;C&amp;"Arial CE,Obyčejné"&amp;10&amp;A - str. &amp;P&amp;R&amp;"Arial CE,Obyčejné"&amp;10©  Miloš Mařík, Pavla Maříková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K21"/>
  <sheetViews>
    <sheetView showGridLines="0" workbookViewId="0"/>
  </sheetViews>
  <sheetFormatPr defaultRowHeight="15.75" x14ac:dyDescent="0.25"/>
  <cols>
    <col min="1" max="1" width="10.125" customWidth="1"/>
    <col min="2" max="5" width="7.25" customWidth="1"/>
    <col min="6" max="6" width="16.625" customWidth="1"/>
    <col min="7" max="10" width="7.125" customWidth="1"/>
    <col min="11" max="11" width="0.75" customWidth="1"/>
  </cols>
  <sheetData>
    <row r="1" spans="1:11" ht="18.75" x14ac:dyDescent="0.3">
      <c r="A1" s="554" t="s">
        <v>399</v>
      </c>
      <c r="J1" s="555" t="s">
        <v>290</v>
      </c>
    </row>
    <row r="2" spans="1:11" ht="20.25" customHeight="1" x14ac:dyDescent="0.25">
      <c r="A2" s="3" t="s">
        <v>238</v>
      </c>
    </row>
    <row r="4" spans="1:11" ht="16.5" thickBot="1" x14ac:dyDescent="0.3">
      <c r="A4" s="2" t="s">
        <v>148</v>
      </c>
    </row>
    <row r="5" spans="1:11" ht="16.5" thickBot="1" x14ac:dyDescent="0.3">
      <c r="A5" s="318" t="s">
        <v>5</v>
      </c>
      <c r="B5" s="238">
        <f>'1 Aktiva'!B3</f>
        <v>2022</v>
      </c>
      <c r="C5" s="266">
        <f>'1 Aktiva'!C3</f>
        <v>2023</v>
      </c>
      <c r="D5" s="240">
        <f>'1 Aktiva'!D3</f>
        <v>2024</v>
      </c>
      <c r="E5" s="241">
        <f>'1 Aktiva'!E3</f>
        <v>2025</v>
      </c>
      <c r="F5" s="325" t="s">
        <v>11</v>
      </c>
      <c r="G5" s="238">
        <f>B5</f>
        <v>2022</v>
      </c>
      <c r="H5" s="266">
        <f>C5</f>
        <v>2023</v>
      </c>
      <c r="I5" s="240">
        <f>D5</f>
        <v>2024</v>
      </c>
      <c r="J5" s="241">
        <f>E5</f>
        <v>2025</v>
      </c>
      <c r="K5" s="63"/>
    </row>
    <row r="6" spans="1:11" ht="30" x14ac:dyDescent="0.25">
      <c r="A6" s="319" t="s">
        <v>149</v>
      </c>
      <c r="B6" s="324">
        <f>'1 Aktiva'!B5</f>
        <v>65394</v>
      </c>
      <c r="C6" s="323">
        <f>'1 Aktiva'!C5</f>
        <v>66043</v>
      </c>
      <c r="D6" s="86">
        <f>'1 Aktiva'!D5</f>
        <v>67043</v>
      </c>
      <c r="E6" s="153">
        <f>'1 Aktiva'!E5</f>
        <v>67043</v>
      </c>
      <c r="F6" s="326" t="s">
        <v>53</v>
      </c>
      <c r="G6" s="268">
        <f>'2 Rezervy - Pasiva'!B5</f>
        <v>63429.603499999997</v>
      </c>
      <c r="H6" s="269">
        <f>'2 Rezervy - Pasiva'!C5</f>
        <v>76899.622999999992</v>
      </c>
      <c r="I6" s="156">
        <f>'2 Rezervy - Pasiva'!D5</f>
        <v>90365.949499999988</v>
      </c>
      <c r="J6" s="177">
        <f>'2 Rezervy - Pasiva'!E5</f>
        <v>108100.3815</v>
      </c>
      <c r="K6" s="63"/>
    </row>
    <row r="7" spans="1:11" ht="16.5" thickBot="1" x14ac:dyDescent="0.3">
      <c r="A7" s="320"/>
      <c r="B7" s="275"/>
      <c r="C7" s="276"/>
      <c r="D7" s="84"/>
      <c r="E7" s="195"/>
      <c r="F7" s="327" t="s">
        <v>54</v>
      </c>
      <c r="G7" s="328">
        <f>'2 Rezervy - Pasiva'!B12</f>
        <v>900</v>
      </c>
      <c r="H7" s="329">
        <f>'2 Rezervy - Pasiva'!C12</f>
        <v>1000</v>
      </c>
      <c r="I7" s="330">
        <f>'2 Rezervy - Pasiva'!D12</f>
        <v>500</v>
      </c>
      <c r="J7" s="331">
        <f>'2 Rezervy - Pasiva'!E12</f>
        <v>500</v>
      </c>
      <c r="K7" s="63"/>
    </row>
    <row r="8" spans="1:11" ht="30.75" thickBot="1" x14ac:dyDescent="0.3">
      <c r="A8" s="321" t="s">
        <v>55</v>
      </c>
      <c r="B8" s="272">
        <f>'1 Aktiva'!B12-'1 Pasiva'!B15</f>
        <v>35708.603499999997</v>
      </c>
      <c r="C8" s="273">
        <f>'1 Aktiva'!C12-'1 Pasiva'!C15</f>
        <v>53163.622999999992</v>
      </c>
      <c r="D8" s="152">
        <f>'1 Aktiva'!D12-'1 Pasiva'!D15</f>
        <v>67618.949500000002</v>
      </c>
      <c r="E8" s="152">
        <f>'1 Aktiva'!E12-'1 Pasiva'!E15</f>
        <v>85353.381500000003</v>
      </c>
      <c r="F8" s="320" t="s">
        <v>56</v>
      </c>
      <c r="G8" s="275">
        <f>'1 Pasiva'!B13+'1 Pasiva'!B14</f>
        <v>36773</v>
      </c>
      <c r="H8" s="276">
        <f>'1 Pasiva'!C13+'1 Pasiva'!C14</f>
        <v>41307</v>
      </c>
      <c r="I8" s="84">
        <f>'1 Pasiva'!D13+'1 Pasiva'!D14</f>
        <v>43796</v>
      </c>
      <c r="J8" s="84">
        <f>'1 Pasiva'!E13+'1 Pasiva'!E14</f>
        <v>43796</v>
      </c>
      <c r="K8" s="63"/>
    </row>
    <row r="9" spans="1:11" ht="16.5" thickBot="1" x14ac:dyDescent="0.3">
      <c r="A9" s="322" t="s">
        <v>57</v>
      </c>
      <c r="B9" s="278">
        <f>SUM(B6:B8)</f>
        <v>101102.6035</v>
      </c>
      <c r="C9" s="279">
        <f>SUM(C6:C8)</f>
        <v>119206.62299999999</v>
      </c>
      <c r="D9" s="85">
        <f>SUM(D6:D8)</f>
        <v>134661.94949999999</v>
      </c>
      <c r="E9" s="85">
        <f>SUM(E6:E8)</f>
        <v>152396.38150000002</v>
      </c>
      <c r="F9" s="322" t="s">
        <v>57</v>
      </c>
      <c r="G9" s="278">
        <f>SUM(G6:G8)</f>
        <v>101102.6035</v>
      </c>
      <c r="H9" s="279">
        <f>SUM(H6:H8)</f>
        <v>119206.62299999999</v>
      </c>
      <c r="I9" s="85">
        <f>SUM(I6:I8)</f>
        <v>134661.94949999999</v>
      </c>
      <c r="J9" s="85">
        <f>SUM(J6:J8)</f>
        <v>152396.38150000002</v>
      </c>
      <c r="K9" s="63"/>
    </row>
    <row r="10" spans="1:11" x14ac:dyDescent="0.25">
      <c r="A10" s="144"/>
      <c r="B10" s="145"/>
      <c r="C10" s="145"/>
      <c r="D10" s="145"/>
      <c r="E10" s="145"/>
      <c r="F10" s="142"/>
      <c r="G10" s="143"/>
      <c r="H10" s="143"/>
      <c r="I10" s="143"/>
      <c r="J10" s="143"/>
    </row>
    <row r="11" spans="1:11" ht="16.5" thickBot="1" x14ac:dyDescent="0.3">
      <c r="A11" s="2" t="s">
        <v>227</v>
      </c>
    </row>
    <row r="12" spans="1:11" ht="16.5" thickBot="1" x14ac:dyDescent="0.3">
      <c r="A12" s="264"/>
      <c r="B12" s="280"/>
      <c r="C12" s="280"/>
      <c r="D12" s="280"/>
      <c r="E12" s="280"/>
      <c r="F12" s="281"/>
      <c r="G12" s="238">
        <f>B5</f>
        <v>2022</v>
      </c>
      <c r="H12" s="239">
        <f>C5</f>
        <v>2023</v>
      </c>
      <c r="I12" s="240">
        <f>D5</f>
        <v>2024</v>
      </c>
      <c r="J12" s="241">
        <f>E5</f>
        <v>2025</v>
      </c>
      <c r="K12" s="63"/>
    </row>
    <row r="13" spans="1:11" x14ac:dyDescent="0.25">
      <c r="A13" s="66" t="s">
        <v>102</v>
      </c>
      <c r="B13" s="67"/>
      <c r="C13" s="67"/>
      <c r="D13" s="67"/>
      <c r="E13" s="67"/>
      <c r="F13" s="68"/>
      <c r="G13" s="282">
        <f>'1 Informace'!$D$15*'1 Pasiva'!B15</f>
        <v>8859.6</v>
      </c>
      <c r="H13" s="69">
        <f>'1 Informace'!$D$15*'1 Pasiva'!C15</f>
        <v>11155.8</v>
      </c>
      <c r="I13" s="69">
        <f>'1 Informace'!$D$15*'1 Pasiva'!D15</f>
        <v>12188.4</v>
      </c>
      <c r="J13" s="69">
        <f>'1 Informace'!$D$15*'1 Pasiva'!E15</f>
        <v>12974.4</v>
      </c>
      <c r="K13" s="63"/>
    </row>
    <row r="14" spans="1:11" x14ac:dyDescent="0.25">
      <c r="A14" s="63" t="s">
        <v>103</v>
      </c>
      <c r="F14" s="65"/>
      <c r="G14" s="283">
        <f>IF(G13&lt;'1 Aktiva'!B21,'1 Aktiva'!B21-'2 Rezervy - NOA'!G13,0)</f>
        <v>17629.003499999999</v>
      </c>
      <c r="H14" s="70">
        <f>IF(H13&lt;'1 Aktiva'!C21,'1 Aktiva'!C21-'2 Rezervy - NOA'!H13,0)</f>
        <v>28000.823</v>
      </c>
      <c r="I14" s="70">
        <f>IF(I13&lt;'1 Aktiva'!D21,'1 Aktiva'!D21-'2 Rezervy - NOA'!I13,0)</f>
        <v>35963.549500000001</v>
      </c>
      <c r="J14" s="70">
        <f>IF(J13&lt;'1 Aktiva'!E21,'1 Aktiva'!E21-'2 Rezervy - NOA'!J13,0)</f>
        <v>51343.981500000002</v>
      </c>
      <c r="K14" s="63"/>
    </row>
    <row r="15" spans="1:11" x14ac:dyDescent="0.25">
      <c r="A15" s="63" t="s">
        <v>150</v>
      </c>
      <c r="F15" s="65"/>
      <c r="G15" s="283">
        <f>'1 Aktiva'!B10</f>
        <v>11000</v>
      </c>
      <c r="H15" s="70">
        <f>'1 Aktiva'!C10</f>
        <v>11000</v>
      </c>
      <c r="I15" s="70">
        <f>'1 Aktiva'!D10</f>
        <v>11000</v>
      </c>
      <c r="J15" s="70">
        <f>'1 Aktiva'!E10</f>
        <v>11000</v>
      </c>
      <c r="K15" s="63"/>
    </row>
    <row r="16" spans="1:11" ht="16.5" thickBot="1" x14ac:dyDescent="0.3">
      <c r="A16" s="63" t="s">
        <v>151</v>
      </c>
      <c r="F16" s="65"/>
      <c r="G16" s="283">
        <f>'1 Aktiva'!B20</f>
        <v>5000</v>
      </c>
      <c r="H16" s="70">
        <f>'1 Aktiva'!C20</f>
        <v>5000</v>
      </c>
      <c r="I16" s="70">
        <f>'1 Aktiva'!D20</f>
        <v>5000</v>
      </c>
      <c r="J16" s="70">
        <f>'1 Aktiva'!E20</f>
        <v>5000</v>
      </c>
      <c r="K16" s="63"/>
    </row>
    <row r="17" spans="1:11" ht="16.5" thickBot="1" x14ac:dyDescent="0.3">
      <c r="A17" s="71" t="s">
        <v>58</v>
      </c>
      <c r="B17" s="72"/>
      <c r="C17" s="72"/>
      <c r="D17" s="72"/>
      <c r="E17" s="72"/>
      <c r="F17" s="73"/>
      <c r="G17" s="284">
        <f>SUM(G14:G16)</f>
        <v>33629.003499999999</v>
      </c>
      <c r="H17" s="64">
        <f>SUM(H14:H16)</f>
        <v>44000.823000000004</v>
      </c>
      <c r="I17" s="64">
        <f>SUM(I14:I16)</f>
        <v>51963.549500000001</v>
      </c>
      <c r="J17" s="64">
        <f>SUM(J14:J16)</f>
        <v>67343.981499999994</v>
      </c>
      <c r="K17" s="63"/>
    </row>
    <row r="19" spans="1:11" ht="16.5" thickBot="1" x14ac:dyDescent="0.3">
      <c r="A19" s="2" t="s">
        <v>228</v>
      </c>
    </row>
    <row r="20" spans="1:11" ht="16.5" thickBot="1" x14ac:dyDescent="0.3">
      <c r="A20" s="264"/>
      <c r="B20" s="280"/>
      <c r="C20" s="280"/>
      <c r="D20" s="280"/>
      <c r="E20" s="280"/>
      <c r="F20" s="281"/>
      <c r="G20" s="238">
        <f>G12</f>
        <v>2022</v>
      </c>
      <c r="H20" s="239">
        <f>H12</f>
        <v>2023</v>
      </c>
      <c r="I20" s="240">
        <f>I12</f>
        <v>2024</v>
      </c>
      <c r="J20" s="241">
        <f>J12</f>
        <v>2025</v>
      </c>
      <c r="K20" s="63"/>
    </row>
    <row r="21" spans="1:11" ht="16.5" thickBot="1" x14ac:dyDescent="0.3">
      <c r="A21" s="71" t="s">
        <v>229</v>
      </c>
      <c r="B21" s="72"/>
      <c r="C21" s="72"/>
      <c r="D21" s="72"/>
      <c r="E21" s="72"/>
      <c r="F21" s="73"/>
      <c r="G21" s="64">
        <f>G9-G17</f>
        <v>67473.600000000006</v>
      </c>
      <c r="H21" s="64">
        <f>H9-H17</f>
        <v>75205.799999999988</v>
      </c>
      <c r="I21" s="64">
        <f>I9-I17</f>
        <v>82698.399999999994</v>
      </c>
      <c r="J21" s="64">
        <f>J9-J17</f>
        <v>85052.400000000023</v>
      </c>
      <c r="K21" s="63"/>
    </row>
  </sheetData>
  <phoneticPr fontId="0" type="noConversion"/>
  <hyperlinks>
    <hyperlink ref="J1" location="Obsah!A1" display="Skok na obsah" xr:uid="{00000000-0004-0000-0D00-000000000000}"/>
  </hyperlinks>
  <printOptions gridLinesSet="0"/>
  <pageMargins left="0.78740157480314965" right="0.78740157480314965" top="0.98425196850393704" bottom="0.78740157480314965" header="0.51181102362204722" footer="0.51181102362204722"/>
  <pageSetup paperSize="9" scale="94" orientation="portrait" r:id="rId1"/>
  <headerFooter alignWithMargins="0">
    <oddHeader>&amp;L&amp;"Arial CE,Obyčejné"&amp;10Mařík, M. a kol.: Metody oceňování podniku pro pokročilé
Ekopress 2023&amp;R&amp;"Arial CE,Obyčejné"&amp;10Příklad: Vzájemná shoda metod DCF a EVA</oddHeader>
    <oddFooter>&amp;C&amp;"Arial CE,Obyčejné"&amp;10&amp;A - str. &amp;P&amp;R&amp;"Arial CE,Obyčejné"&amp;10©  Miloš Mařík, Pavla Maříková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FFFF99"/>
    <pageSetUpPr fitToPage="1"/>
  </sheetPr>
  <dimension ref="A1:L69"/>
  <sheetViews>
    <sheetView showGridLines="0" workbookViewId="0"/>
  </sheetViews>
  <sheetFormatPr defaultRowHeight="15.75" x14ac:dyDescent="0.25"/>
  <cols>
    <col min="1" max="1" width="40.625" customWidth="1"/>
    <col min="2" max="5" width="8.625" customWidth="1"/>
    <col min="6" max="6" width="5.5" customWidth="1"/>
    <col min="7" max="7" width="3" customWidth="1"/>
  </cols>
  <sheetData>
    <row r="1" spans="1:5" ht="18.75" x14ac:dyDescent="0.3">
      <c r="A1" s="554" t="s">
        <v>399</v>
      </c>
      <c r="E1" s="555" t="s">
        <v>290</v>
      </c>
    </row>
    <row r="2" spans="1:5" ht="20.25" customHeight="1" x14ac:dyDescent="0.25">
      <c r="A2" s="3" t="s">
        <v>236</v>
      </c>
    </row>
    <row r="3" spans="1:5" x14ac:dyDescent="0.25">
      <c r="A3" s="130" t="str">
        <f>"Výsledky hospodaření v roce "&amp;FIXED(rok+4,0,1)&amp;" budou stejné jako v roce "&amp;FIXED(rok+3,0,1)</f>
        <v>Výsledky hospodaření v roce 2026 budou stejné jako v roce 2025</v>
      </c>
    </row>
    <row r="4" spans="1:5" x14ac:dyDescent="0.25">
      <c r="A4" s="165" t="s">
        <v>152</v>
      </c>
      <c r="B4" s="164">
        <f>'1 Společné úpravy - WACC'!B6</f>
        <v>0.19</v>
      </c>
      <c r="C4" s="164">
        <f>'1 Společné úpravy - WACC'!C6</f>
        <v>0.19</v>
      </c>
      <c r="D4" s="164">
        <f>'1 Společné úpravy - WACC'!D6</f>
        <v>0.19</v>
      </c>
      <c r="E4" s="164">
        <f>'1 Společné úpravy - WACC'!E6</f>
        <v>0.19</v>
      </c>
    </row>
    <row r="5" spans="1:5" x14ac:dyDescent="0.25">
      <c r="A5" s="134"/>
      <c r="B5" s="332"/>
      <c r="C5" s="332"/>
      <c r="D5" s="332"/>
      <c r="E5" s="332"/>
    </row>
    <row r="6" spans="1:5" x14ac:dyDescent="0.25">
      <c r="A6" s="2" t="s">
        <v>234</v>
      </c>
    </row>
    <row r="7" spans="1:5" ht="31.5" x14ac:dyDescent="0.25">
      <c r="A7" s="301"/>
      <c r="B7" s="302">
        <f>rok+1</f>
        <v>2023</v>
      </c>
      <c r="C7" s="302">
        <f>B7+1</f>
        <v>2024</v>
      </c>
      <c r="D7" s="302">
        <f>C7+1</f>
        <v>2025</v>
      </c>
      <c r="E7" s="300" t="str">
        <f>FIXED(D7+1,0,1)&amp;" 2.fáze"</f>
        <v>2026 2.fáze</v>
      </c>
    </row>
    <row r="8" spans="1:5" x14ac:dyDescent="0.25">
      <c r="A8" s="88" t="s">
        <v>114</v>
      </c>
      <c r="B8" s="133">
        <f>'2 Rezervy - Výsledovka'!C10</f>
        <v>23884.600000000006</v>
      </c>
      <c r="C8" s="133">
        <f>'2 Rezervy - Výsledovka'!D10</f>
        <v>23966</v>
      </c>
      <c r="D8" s="133">
        <f>'2 Rezervy - Výsledovka'!E10</f>
        <v>29477</v>
      </c>
      <c r="E8" s="81">
        <f>D8+'2 Rezervy - Výsledovka'!E8</f>
        <v>29477</v>
      </c>
    </row>
    <row r="9" spans="1:5" x14ac:dyDescent="0.25">
      <c r="A9" s="333" t="s">
        <v>115</v>
      </c>
      <c r="B9" s="334">
        <f>'2 Rezervy - Výsledovka'!C8</f>
        <v>100</v>
      </c>
      <c r="C9" s="334">
        <f>'2 Rezervy - Výsledovka'!D8</f>
        <v>-500</v>
      </c>
      <c r="D9" s="334">
        <f>'2 Rezervy - Výsledovka'!E8</f>
        <v>0</v>
      </c>
      <c r="E9" s="335">
        <v>0</v>
      </c>
    </row>
    <row r="10" spans="1:5" x14ac:dyDescent="0.25">
      <c r="A10" s="89" t="s">
        <v>249</v>
      </c>
      <c r="B10" s="167">
        <f>SUM(B8:B9)</f>
        <v>23984.600000000006</v>
      </c>
      <c r="C10" s="82">
        <f>SUM(C8:C9)</f>
        <v>23466</v>
      </c>
      <c r="D10" s="82">
        <f>SUM(D8:D9)</f>
        <v>29477</v>
      </c>
      <c r="E10" s="82">
        <f>SUM(E8:E9)</f>
        <v>29477</v>
      </c>
    </row>
    <row r="11" spans="1:5" x14ac:dyDescent="0.25">
      <c r="A11" s="88" t="s">
        <v>84</v>
      </c>
      <c r="B11" s="133">
        <f>'1 Společné úpravy - Hodnota'!B10</f>
        <v>4557.0740000000014</v>
      </c>
      <c r="C11" s="133">
        <f>'1 Společné úpravy - Hodnota'!C10</f>
        <v>4458.54</v>
      </c>
      <c r="D11" s="133">
        <f>'1 Společné úpravy - Hodnota'!D10</f>
        <v>5600.63</v>
      </c>
      <c r="E11" s="133">
        <f>'1 Společné úpravy - Hodnota'!E10</f>
        <v>5600.63</v>
      </c>
    </row>
    <row r="12" spans="1:5" x14ac:dyDescent="0.25">
      <c r="A12" s="303" t="s">
        <v>248</v>
      </c>
      <c r="B12" s="304">
        <f>B10-B11</f>
        <v>19427.526000000005</v>
      </c>
      <c r="C12" s="305">
        <f>C10-C11</f>
        <v>19007.46</v>
      </c>
      <c r="D12" s="305">
        <f>D10-D11</f>
        <v>23876.37</v>
      </c>
      <c r="E12" s="305">
        <f>E10-E11</f>
        <v>23876.37</v>
      </c>
    </row>
    <row r="13" spans="1:5" x14ac:dyDescent="0.25">
      <c r="B13" s="108"/>
    </row>
    <row r="14" spans="1:5" x14ac:dyDescent="0.25">
      <c r="A14" s="2" t="s">
        <v>235</v>
      </c>
    </row>
    <row r="15" spans="1:5" ht="31.5" x14ac:dyDescent="0.25">
      <c r="A15" s="301"/>
      <c r="B15" s="302">
        <f>rok+1</f>
        <v>2023</v>
      </c>
      <c r="C15" s="302">
        <f>B15+1</f>
        <v>2024</v>
      </c>
      <c r="D15" s="302">
        <f>C15+1</f>
        <v>2025</v>
      </c>
      <c r="E15" s="300" t="str">
        <f>FIXED(D15+1,0,1)&amp;" 2.fáze"</f>
        <v>2026 2.fáze</v>
      </c>
    </row>
    <row r="16" spans="1:5" x14ac:dyDescent="0.25">
      <c r="A16" s="88" t="s">
        <v>114</v>
      </c>
      <c r="B16" s="133">
        <f>'2 Rezervy - Výsledovka'!C10</f>
        <v>23884.600000000006</v>
      </c>
      <c r="C16" s="133">
        <f>'2 Rezervy - Výsledovka'!D10</f>
        <v>23966</v>
      </c>
      <c r="D16" s="133">
        <f>'2 Rezervy - Výsledovka'!E10</f>
        <v>29477</v>
      </c>
      <c r="E16" s="81">
        <f>D16+'2 Rezervy - Výsledovka'!E8</f>
        <v>29477</v>
      </c>
    </row>
    <row r="17" spans="1:5" x14ac:dyDescent="0.25">
      <c r="A17" s="89" t="s">
        <v>101</v>
      </c>
      <c r="B17" s="167">
        <f>SUM(B16:B16)</f>
        <v>23884.600000000006</v>
      </c>
      <c r="C17" s="82">
        <f>SUM(C16:C16)</f>
        <v>23966</v>
      </c>
      <c r="D17" s="82">
        <f>SUM(D16:D16)</f>
        <v>29477</v>
      </c>
      <c r="E17" s="82">
        <f>SUM(E16:E16)</f>
        <v>29477</v>
      </c>
    </row>
    <row r="18" spans="1:5" x14ac:dyDescent="0.25">
      <c r="A18" s="88" t="s">
        <v>84</v>
      </c>
      <c r="B18" s="133">
        <f>B11</f>
        <v>4557.0740000000014</v>
      </c>
      <c r="C18" s="81">
        <f>C11</f>
        <v>4458.54</v>
      </c>
      <c r="D18" s="81">
        <f>D11</f>
        <v>5600.63</v>
      </c>
      <c r="E18" s="81">
        <f>E11</f>
        <v>5600.63</v>
      </c>
    </row>
    <row r="19" spans="1:5" x14ac:dyDescent="0.25">
      <c r="A19" s="303" t="s">
        <v>155</v>
      </c>
      <c r="B19" s="304">
        <f>B17-B18</f>
        <v>19327.526000000005</v>
      </c>
      <c r="C19" s="305">
        <f>C17-C18</f>
        <v>19507.46</v>
      </c>
      <c r="D19" s="305">
        <f>D17-D18</f>
        <v>23876.37</v>
      </c>
      <c r="E19" s="305">
        <f>E17-E18</f>
        <v>23876.37</v>
      </c>
    </row>
    <row r="20" spans="1:5" x14ac:dyDescent="0.25">
      <c r="B20" s="108"/>
    </row>
    <row r="21" spans="1:5" x14ac:dyDescent="0.25">
      <c r="A21" s="3" t="s">
        <v>262</v>
      </c>
    </row>
    <row r="23" spans="1:5" x14ac:dyDescent="0.25">
      <c r="A23" s="2" t="s">
        <v>85</v>
      </c>
      <c r="C23" s="108"/>
    </row>
    <row r="24" spans="1:5" ht="31.5" x14ac:dyDescent="0.25">
      <c r="A24" s="301"/>
      <c r="B24" s="302">
        <f>B7</f>
        <v>2023</v>
      </c>
      <c r="C24" s="302">
        <f>C7</f>
        <v>2024</v>
      </c>
      <c r="D24" s="302">
        <f>D7</f>
        <v>2025</v>
      </c>
      <c r="E24" s="300" t="str">
        <f>E7</f>
        <v>2026 2.fáze</v>
      </c>
    </row>
    <row r="25" spans="1:5" x14ac:dyDescent="0.25">
      <c r="A25" s="169" t="s">
        <v>109</v>
      </c>
      <c r="B25" s="41">
        <f>B12</f>
        <v>19427.526000000005</v>
      </c>
      <c r="C25" s="41">
        <f>C12</f>
        <v>19007.46</v>
      </c>
      <c r="D25" s="41">
        <f>D12</f>
        <v>23876.37</v>
      </c>
      <c r="E25" s="41">
        <f>E12</f>
        <v>23876.37</v>
      </c>
    </row>
    <row r="26" spans="1:5" x14ac:dyDescent="0.25">
      <c r="A26" s="74" t="s">
        <v>82</v>
      </c>
      <c r="B26" s="175">
        <f>'1 Společné úpravy - WACC'!B28</f>
        <v>9.557296502733692E-2</v>
      </c>
      <c r="C26" s="175">
        <f>'1 Společné úpravy - WACC'!C28</f>
        <v>9.3572921150700442E-2</v>
      </c>
      <c r="D26" s="175">
        <f>'1 Společné úpravy - WACC'!D28</f>
        <v>9.3083259169047722E-2</v>
      </c>
      <c r="E26" s="175">
        <f>'1 Společné úpravy - WACC'!E28</f>
        <v>9.361151329528053E-2</v>
      </c>
    </row>
    <row r="27" spans="1:5" x14ac:dyDescent="0.25">
      <c r="A27" s="74" t="s">
        <v>153</v>
      </c>
      <c r="B27" s="124">
        <f>'2 Rezervy - NOA'!G21</f>
        <v>67473.600000000006</v>
      </c>
      <c r="C27" s="124">
        <f>'2 Rezervy - NOA'!H21</f>
        <v>75205.799999999988</v>
      </c>
      <c r="D27" s="124">
        <f>'2 Rezervy - NOA'!I21</f>
        <v>82698.399999999994</v>
      </c>
      <c r="E27" s="124">
        <f>'2 Rezervy - NOA'!J21</f>
        <v>85052.400000000023</v>
      </c>
    </row>
    <row r="28" spans="1:5" x14ac:dyDescent="0.25">
      <c r="A28" s="107" t="s">
        <v>237</v>
      </c>
      <c r="B28" s="133">
        <f>B26*B27</f>
        <v>6448.6520130685212</v>
      </c>
      <c r="C28" s="133">
        <f>C26*C27</f>
        <v>7037.2263934753464</v>
      </c>
      <c r="D28" s="133">
        <f>D26*D27</f>
        <v>7697.836600065576</v>
      </c>
      <c r="E28" s="133">
        <f>E26*E27</f>
        <v>7961.8838733955199</v>
      </c>
    </row>
    <row r="29" spans="1:5" x14ac:dyDescent="0.25">
      <c r="A29" s="303" t="s">
        <v>86</v>
      </c>
      <c r="B29" s="304">
        <f>B25-B28</f>
        <v>12978.873986931485</v>
      </c>
      <c r="C29" s="304">
        <f>C25-C28</f>
        <v>11970.233606524653</v>
      </c>
      <c r="D29" s="304">
        <f>D25-D28</f>
        <v>16178.533399934422</v>
      </c>
      <c r="E29" s="304">
        <f>E25-E28</f>
        <v>15914.486126604479</v>
      </c>
    </row>
    <row r="31" spans="1:5" x14ac:dyDescent="0.25">
      <c r="A31" s="2" t="s">
        <v>87</v>
      </c>
    </row>
    <row r="32" spans="1:5" ht="31.5" x14ac:dyDescent="0.25">
      <c r="A32" s="301"/>
      <c r="B32" s="302">
        <f>rok+1</f>
        <v>2023</v>
      </c>
      <c r="C32" s="302">
        <f>B32+1</f>
        <v>2024</v>
      </c>
      <c r="D32" s="302">
        <f>C32+1</f>
        <v>2025</v>
      </c>
      <c r="E32" s="300" t="str">
        <f>FIXED(D32+1,0,1)&amp;" 2.fáze"</f>
        <v>2026 2.fáze</v>
      </c>
    </row>
    <row r="33" spans="1:5" x14ac:dyDescent="0.25">
      <c r="A33" s="77" t="s">
        <v>88</v>
      </c>
      <c r="B33" s="79">
        <f>B29</f>
        <v>12978.873986931485</v>
      </c>
      <c r="C33" s="79">
        <f>C29</f>
        <v>11970.233606524653</v>
      </c>
      <c r="D33" s="79">
        <f>D29</f>
        <v>16178.533399934422</v>
      </c>
      <c r="E33" s="79">
        <f>E29</f>
        <v>15914.486126604479</v>
      </c>
    </row>
    <row r="34" spans="1:5" x14ac:dyDescent="0.25">
      <c r="A34" s="78" t="s">
        <v>82</v>
      </c>
      <c r="B34" s="170">
        <f>B26</f>
        <v>9.557296502733692E-2</v>
      </c>
      <c r="C34" s="170">
        <f>C26</f>
        <v>9.3572921150700442E-2</v>
      </c>
      <c r="D34" s="170">
        <f>D26</f>
        <v>9.3083259169047722E-2</v>
      </c>
      <c r="E34" s="170">
        <f>E26</f>
        <v>9.361151329528053E-2</v>
      </c>
    </row>
    <row r="35" spans="1:5" x14ac:dyDescent="0.25">
      <c r="A35" s="78" t="s">
        <v>145</v>
      </c>
      <c r="B35" s="101">
        <f>1/(1+B34)</f>
        <v>0.91276439992752822</v>
      </c>
      <c r="C35" s="101">
        <f>B35/(1+C34)</f>
        <v>0.83466258378735425</v>
      </c>
      <c r="D35" s="101">
        <f>C35/(1+D34)</f>
        <v>0.76358555195681743</v>
      </c>
      <c r="E35" s="129"/>
    </row>
    <row r="36" spans="1:5" x14ac:dyDescent="0.25">
      <c r="A36" s="78" t="s">
        <v>89</v>
      </c>
      <c r="B36" s="81">
        <f>B33*B35</f>
        <v>11846.654126416523</v>
      </c>
      <c r="C36" s="81">
        <f>C33*C35</f>
        <v>9991.1061105600875</v>
      </c>
      <c r="D36" s="81">
        <f>D33*D35</f>
        <v>12353.694356040733</v>
      </c>
      <c r="E36" s="108"/>
    </row>
    <row r="38" spans="1:5" x14ac:dyDescent="0.25">
      <c r="A38" s="2" t="s">
        <v>90</v>
      </c>
    </row>
    <row r="39" spans="1:5" x14ac:dyDescent="0.25">
      <c r="A39" s="40" t="s">
        <v>91</v>
      </c>
      <c r="B39" s="102">
        <f>E33/E34</f>
        <v>170005.6495871947</v>
      </c>
    </row>
    <row r="40" spans="1:5" x14ac:dyDescent="0.25">
      <c r="A40" s="77" t="s">
        <v>92</v>
      </c>
      <c r="B40" s="79">
        <f>B39*D35</f>
        <v>129813.85777581536</v>
      </c>
    </row>
    <row r="41" spans="1:5" x14ac:dyDescent="0.25">
      <c r="A41" s="78" t="s">
        <v>93</v>
      </c>
      <c r="B41" s="81">
        <f>SUM(B36:D36)</f>
        <v>34191.454593017341</v>
      </c>
    </row>
    <row r="42" spans="1:5" x14ac:dyDescent="0.25">
      <c r="A42" s="104" t="s">
        <v>94</v>
      </c>
      <c r="B42" s="105">
        <f>B40+B41</f>
        <v>164005.3123688327</v>
      </c>
      <c r="C42" s="108"/>
    </row>
    <row r="43" spans="1:5" x14ac:dyDescent="0.25">
      <c r="A43" s="78" t="s">
        <v>154</v>
      </c>
      <c r="B43" s="81">
        <f>'2 Rezervy - NOA'!G21</f>
        <v>67473.600000000006</v>
      </c>
    </row>
    <row r="44" spans="1:5" x14ac:dyDescent="0.25">
      <c r="A44" s="103" t="s">
        <v>95</v>
      </c>
      <c r="B44" s="82">
        <f>B42+B43</f>
        <v>231478.91236883271</v>
      </c>
    </row>
    <row r="45" spans="1:5" x14ac:dyDescent="0.25">
      <c r="A45" s="78" t="s">
        <v>96</v>
      </c>
      <c r="B45" s="81">
        <f>'2 Rezervy - NOA'!G8</f>
        <v>36773</v>
      </c>
    </row>
    <row r="46" spans="1:5" x14ac:dyDescent="0.25">
      <c r="A46" s="103" t="s">
        <v>97</v>
      </c>
      <c r="B46" s="82">
        <f>B44-B45</f>
        <v>194705.91236883271</v>
      </c>
    </row>
    <row r="47" spans="1:5" x14ac:dyDescent="0.25">
      <c r="A47" s="78" t="s">
        <v>98</v>
      </c>
      <c r="B47" s="81">
        <f>'2 Rezervy - NOA'!G17</f>
        <v>33629.003499999999</v>
      </c>
    </row>
    <row r="48" spans="1:5" x14ac:dyDescent="0.25">
      <c r="A48" s="306" t="s">
        <v>199</v>
      </c>
      <c r="B48" s="307">
        <f>B46+B47</f>
        <v>228334.9158688327</v>
      </c>
    </row>
    <row r="50" spans="1:12" x14ac:dyDescent="0.25">
      <c r="A50" s="3" t="s">
        <v>263</v>
      </c>
    </row>
    <row r="51" spans="1:12" x14ac:dyDescent="0.25">
      <c r="A51" s="2" t="s">
        <v>87</v>
      </c>
    </row>
    <row r="52" spans="1:12" ht="31.5" x14ac:dyDescent="0.25">
      <c r="A52" s="301"/>
      <c r="B52" s="302">
        <f>rok+1</f>
        <v>2023</v>
      </c>
      <c r="C52" s="302">
        <f>B52+1</f>
        <v>2024</v>
      </c>
      <c r="D52" s="302">
        <f>C52+1</f>
        <v>2025</v>
      </c>
      <c r="E52" s="300" t="str">
        <f>FIXED(D52+1,0,1)&amp;" 2.fáze"</f>
        <v>2026 2.fáze</v>
      </c>
    </row>
    <row r="53" spans="1:12" x14ac:dyDescent="0.25">
      <c r="A53" s="87" t="s">
        <v>141</v>
      </c>
      <c r="B53" s="136">
        <f>B19</f>
        <v>19327.526000000005</v>
      </c>
      <c r="C53" s="136">
        <f>C19</f>
        <v>19507.46</v>
      </c>
      <c r="D53" s="136">
        <f>D19</f>
        <v>23876.37</v>
      </c>
      <c r="E53" s="136">
        <f>E19</f>
        <v>23876.37</v>
      </c>
    </row>
    <row r="54" spans="1:12" x14ac:dyDescent="0.25">
      <c r="A54" s="336" t="s">
        <v>142</v>
      </c>
      <c r="B54" s="337">
        <f>'2 Rezervy - NOA'!H7-'2 Rezervy - NOA'!G7</f>
        <v>100</v>
      </c>
      <c r="C54" s="337">
        <f>'2 Rezervy - NOA'!I7-'2 Rezervy - NOA'!H7</f>
        <v>-500</v>
      </c>
      <c r="D54" s="337">
        <f>'2 Rezervy - NOA'!J7-'2 Rezervy - NOA'!I7</f>
        <v>0</v>
      </c>
      <c r="E54" s="337">
        <v>0</v>
      </c>
    </row>
    <row r="55" spans="1:12" x14ac:dyDescent="0.25">
      <c r="A55" s="78" t="s">
        <v>110</v>
      </c>
      <c r="B55" s="81">
        <f>-('2 Rezervy - NOA'!H21-'2 Rezervy - NOA'!G21)</f>
        <v>-7732.1999999999825</v>
      </c>
      <c r="C55" s="81">
        <f>-('2 Rezervy - NOA'!I21-'2 Rezervy - NOA'!H21)</f>
        <v>-7492.6000000000058</v>
      </c>
      <c r="D55" s="81">
        <f>-('2 Rezervy - NOA'!J21-'2 Rezervy - NOA'!I21)</f>
        <v>-2354.0000000000291</v>
      </c>
      <c r="E55" s="81">
        <v>0</v>
      </c>
      <c r="I55" s="108"/>
      <c r="J55" s="108"/>
      <c r="K55" s="108"/>
      <c r="L55" s="108"/>
    </row>
    <row r="56" spans="1:12" x14ac:dyDescent="0.25">
      <c r="A56" s="308" t="s">
        <v>111</v>
      </c>
      <c r="B56" s="309">
        <f>SUM(B53:B55)</f>
        <v>11695.326000000023</v>
      </c>
      <c r="C56" s="309">
        <f>SUM(C53:C55)</f>
        <v>11514.859999999993</v>
      </c>
      <c r="D56" s="309">
        <f>SUM(D53:D55)</f>
        <v>21522.36999999997</v>
      </c>
      <c r="E56" s="309">
        <f>SUM(E53:E55)</f>
        <v>23876.37</v>
      </c>
      <c r="I56" s="108"/>
      <c r="J56" s="108"/>
      <c r="K56" s="108"/>
      <c r="L56" s="108"/>
    </row>
    <row r="57" spans="1:12" x14ac:dyDescent="0.25">
      <c r="A57" s="78" t="s">
        <v>82</v>
      </c>
      <c r="B57" s="170">
        <f>B34</f>
        <v>9.557296502733692E-2</v>
      </c>
      <c r="C57" s="170">
        <f>C34</f>
        <v>9.3572921150700442E-2</v>
      </c>
      <c r="D57" s="170">
        <f>D34</f>
        <v>9.3083259169047722E-2</v>
      </c>
      <c r="E57" s="170">
        <f>E34</f>
        <v>9.361151329528053E-2</v>
      </c>
    </row>
    <row r="58" spans="1:12" x14ac:dyDescent="0.25">
      <c r="A58" s="78" t="s">
        <v>156</v>
      </c>
      <c r="B58" s="101">
        <f>1/(1+B57)</f>
        <v>0.91276439992752822</v>
      </c>
      <c r="C58" s="101">
        <f>B58/(1+C57)</f>
        <v>0.83466258378735425</v>
      </c>
      <c r="D58" s="101">
        <f>C58/(1+D57)</f>
        <v>0.76358555195681743</v>
      </c>
      <c r="E58" s="129"/>
    </row>
    <row r="59" spans="1:12" x14ac:dyDescent="0.25">
      <c r="A59" s="78" t="s">
        <v>112</v>
      </c>
      <c r="B59" s="81">
        <f>B56*B58</f>
        <v>10675.07721834684</v>
      </c>
      <c r="C59" s="81">
        <f>C56*C58</f>
        <v>9611.022799549648</v>
      </c>
      <c r="D59" s="81">
        <f>D56*D58</f>
        <v>16434.170775868824</v>
      </c>
      <c r="E59" s="108"/>
    </row>
    <row r="60" spans="1:12" x14ac:dyDescent="0.25">
      <c r="B60" s="108"/>
      <c r="C60" s="108"/>
      <c r="D60" s="108"/>
      <c r="E60" s="108"/>
    </row>
    <row r="61" spans="1:12" x14ac:dyDescent="0.25">
      <c r="A61" s="2" t="s">
        <v>160</v>
      </c>
    </row>
    <row r="62" spans="1:12" x14ac:dyDescent="0.25">
      <c r="A62" s="40" t="s">
        <v>91</v>
      </c>
      <c r="B62" s="174">
        <f>E56/E57</f>
        <v>255058.04958719472</v>
      </c>
    </row>
    <row r="63" spans="1:12" x14ac:dyDescent="0.25">
      <c r="A63" s="77" t="s">
        <v>92</v>
      </c>
      <c r="B63" s="79">
        <f>B62*D58</f>
        <v>194758.64157506739</v>
      </c>
    </row>
    <row r="64" spans="1:12" x14ac:dyDescent="0.25">
      <c r="A64" s="78" t="s">
        <v>93</v>
      </c>
      <c r="B64" s="81">
        <f>SUM(B59:D59)</f>
        <v>36720.270793765318</v>
      </c>
    </row>
    <row r="65" spans="1:2" x14ac:dyDescent="0.25">
      <c r="A65" s="172" t="s">
        <v>95</v>
      </c>
      <c r="B65" s="173">
        <f>B63+B64</f>
        <v>231478.91236883271</v>
      </c>
    </row>
    <row r="66" spans="1:2" x14ac:dyDescent="0.25">
      <c r="A66" s="78" t="s">
        <v>96</v>
      </c>
      <c r="B66" s="81">
        <f>'2 Rezervy - NOA'!G8</f>
        <v>36773</v>
      </c>
    </row>
    <row r="67" spans="1:2" x14ac:dyDescent="0.25">
      <c r="A67" s="103" t="s">
        <v>97</v>
      </c>
      <c r="B67" s="82">
        <f>B65-B66</f>
        <v>194705.91236883271</v>
      </c>
    </row>
    <row r="68" spans="1:2" x14ac:dyDescent="0.25">
      <c r="A68" s="78" t="s">
        <v>98</v>
      </c>
      <c r="B68" s="81">
        <f>'2 Rezervy - NOA'!G17</f>
        <v>33629.003499999999</v>
      </c>
    </row>
    <row r="69" spans="1:2" x14ac:dyDescent="0.25">
      <c r="A69" s="306" t="s">
        <v>199</v>
      </c>
      <c r="B69" s="307">
        <f>B67+B68</f>
        <v>228334.9158688327</v>
      </c>
    </row>
  </sheetData>
  <phoneticPr fontId="0" type="noConversion"/>
  <hyperlinks>
    <hyperlink ref="E1" location="Obsah!A1" display="Skok na obsah" xr:uid="{00000000-0004-0000-0E00-000000000000}"/>
  </hyperlinks>
  <printOptions gridLinesSet="0"/>
  <pageMargins left="0.78740157480314965" right="0.78740157480314965" top="0.98425196850393704" bottom="0.78740157480314965" header="0.51181102362204722" footer="0.51181102362204722"/>
  <pageSetup paperSize="9" scale="63" orientation="portrait" r:id="rId1"/>
  <headerFooter alignWithMargins="0">
    <oddHeader>&amp;L&amp;"Arial CE,Obyčejné"&amp;10Mařík, M. a kol.: Metody oceňování podniku pro pokročilé
Ekopress 2023&amp;R&amp;"Arial CE,Obyčejné"&amp;10Příklad: Vzájemná shoda metod DCF a EVA</oddHeader>
    <oddFooter>&amp;C&amp;"Arial CE,Obyčejné"&amp;10&amp;A - str. &amp;P&amp;R&amp;"Arial CE,Obyčejné"&amp;10©  Miloš Mařík, Pavla Maříková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F17"/>
  <sheetViews>
    <sheetView showGridLines="0" workbookViewId="0"/>
  </sheetViews>
  <sheetFormatPr defaultRowHeight="15.75" x14ac:dyDescent="0.25"/>
  <cols>
    <col min="1" max="1" width="35.625" customWidth="1"/>
    <col min="6" max="6" width="2.625" customWidth="1"/>
  </cols>
  <sheetData>
    <row r="1" spans="1:6" ht="18.75" x14ac:dyDescent="0.3">
      <c r="A1" s="554" t="s">
        <v>400</v>
      </c>
      <c r="E1" s="555" t="s">
        <v>290</v>
      </c>
    </row>
    <row r="2" spans="1:6" ht="20.25" customHeight="1" x14ac:dyDescent="0.25">
      <c r="A2" s="3" t="s">
        <v>46</v>
      </c>
    </row>
    <row r="4" spans="1:6" x14ac:dyDescent="0.25">
      <c r="A4" t="s">
        <v>158</v>
      </c>
    </row>
    <row r="5" spans="1:6" x14ac:dyDescent="0.25">
      <c r="A5" t="s">
        <v>47</v>
      </c>
    </row>
    <row r="6" spans="1:6" x14ac:dyDescent="0.25">
      <c r="A6" t="s">
        <v>48</v>
      </c>
    </row>
    <row r="8" spans="1:6" x14ac:dyDescent="0.25">
      <c r="A8" s="2" t="s">
        <v>39</v>
      </c>
    </row>
    <row r="9" spans="1:6" ht="16.5" thickBot="1" x14ac:dyDescent="0.3"/>
    <row r="10" spans="1:6" ht="16.5" thickBot="1" x14ac:dyDescent="0.3">
      <c r="A10" s="325"/>
      <c r="B10" s="238">
        <f>'1 Aktiva'!B3</f>
        <v>2022</v>
      </c>
      <c r="C10" s="266">
        <f>B10+1</f>
        <v>2023</v>
      </c>
      <c r="D10" s="240">
        <f>C10+1</f>
        <v>2024</v>
      </c>
      <c r="E10" s="241">
        <f>D10+1</f>
        <v>2025</v>
      </c>
      <c r="F10" s="63"/>
    </row>
    <row r="11" spans="1:6" ht="16.5" thickBot="1" x14ac:dyDescent="0.3">
      <c r="A11" s="44" t="s">
        <v>49</v>
      </c>
      <c r="B11" s="528">
        <v>2490</v>
      </c>
      <c r="C11" s="522">
        <v>3600</v>
      </c>
      <c r="D11" s="340">
        <v>0</v>
      </c>
      <c r="E11" s="341">
        <v>0</v>
      </c>
      <c r="F11" s="63"/>
    </row>
    <row r="12" spans="1:6" x14ac:dyDescent="0.25">
      <c r="A12" s="46" t="str">
        <f>"Lineární odpis výdaje z roku "&amp;FIXED(B10,0,1)</f>
        <v>Lineární odpis výdaje z roku 2022</v>
      </c>
      <c r="B12" s="529">
        <f>$B$11/3</f>
        <v>830</v>
      </c>
      <c r="C12" s="523">
        <f>$B$11/3</f>
        <v>830</v>
      </c>
      <c r="D12" s="47">
        <f>$B$11/3</f>
        <v>830</v>
      </c>
      <c r="E12" s="48"/>
      <c r="F12" s="63"/>
    </row>
    <row r="13" spans="1:6" x14ac:dyDescent="0.25">
      <c r="A13" s="49" t="str">
        <f>"Lineární odpis výdaje z roku "&amp;FIXED(C10,0,1)</f>
        <v>Lineární odpis výdaje z roku 2023</v>
      </c>
      <c r="B13" s="530"/>
      <c r="C13" s="524">
        <f>$C$11/3</f>
        <v>1200</v>
      </c>
      <c r="D13" s="50">
        <f>$C$11/3</f>
        <v>1200</v>
      </c>
      <c r="E13" s="51">
        <f>$C$11/3</f>
        <v>1200</v>
      </c>
      <c r="F13" s="63"/>
    </row>
    <row r="14" spans="1:6" ht="16.5" thickBot="1" x14ac:dyDescent="0.3">
      <c r="A14" s="57" t="s">
        <v>50</v>
      </c>
      <c r="B14" s="531">
        <f>B12+B13</f>
        <v>830</v>
      </c>
      <c r="C14" s="525">
        <f>C12+C13</f>
        <v>2030</v>
      </c>
      <c r="D14" s="55">
        <f>D12+D13</f>
        <v>2030</v>
      </c>
      <c r="E14" s="56">
        <f>E12+E13</f>
        <v>1200</v>
      </c>
      <c r="F14" s="63"/>
    </row>
    <row r="15" spans="1:6" x14ac:dyDescent="0.25">
      <c r="A15" s="45" t="s">
        <v>51</v>
      </c>
      <c r="B15" s="532">
        <f>B11</f>
        <v>2490</v>
      </c>
      <c r="C15" s="526">
        <f>B15+C11</f>
        <v>6090</v>
      </c>
      <c r="D15" s="42">
        <f>C15+D11</f>
        <v>6090</v>
      </c>
      <c r="E15" s="43">
        <f>D15+E11</f>
        <v>6090</v>
      </c>
      <c r="F15" s="63"/>
    </row>
    <row r="16" spans="1:6" ht="16.5" thickBot="1" x14ac:dyDescent="0.3">
      <c r="A16" s="45" t="s">
        <v>52</v>
      </c>
      <c r="B16" s="532">
        <f>B14</f>
        <v>830</v>
      </c>
      <c r="C16" s="526">
        <f>B16+C14</f>
        <v>2860</v>
      </c>
      <c r="D16" s="42">
        <f>C16+D14</f>
        <v>4890</v>
      </c>
      <c r="E16" s="43">
        <f>D16+E14</f>
        <v>6090</v>
      </c>
      <c r="F16" s="63"/>
    </row>
    <row r="17" spans="1:6" ht="32.25" thickBot="1" x14ac:dyDescent="0.3">
      <c r="A17" s="52" t="s">
        <v>242</v>
      </c>
      <c r="B17" s="533">
        <f>B15-B16</f>
        <v>1660</v>
      </c>
      <c r="C17" s="527">
        <f>C15-C16</f>
        <v>3230</v>
      </c>
      <c r="D17" s="53">
        <f>D15-D16</f>
        <v>1200</v>
      </c>
      <c r="E17" s="54">
        <f>E15-E16</f>
        <v>0</v>
      </c>
      <c r="F17" s="63"/>
    </row>
  </sheetData>
  <phoneticPr fontId="0" type="noConversion"/>
  <hyperlinks>
    <hyperlink ref="E1" location="Obsah!A1" display="Skok na obsah" xr:uid="{00000000-0004-0000-0F00-000000000000}"/>
  </hyperlinks>
  <printOptions gridLinesSet="0"/>
  <pageMargins left="0.78740157480314965" right="0.78740157480314965" top="0.98425196850393704" bottom="0.78740157480314965" header="0.51181102362204722" footer="0.51181102362204722"/>
  <pageSetup paperSize="9" orientation="portrait" r:id="rId1"/>
  <headerFooter alignWithMargins="0">
    <oddHeader>&amp;L&amp;"Arial CE,Obyčejné"&amp;10Mařík, M. a kol.: Metody oceňování podniku pro pokročilé
Ekopress 2023&amp;R&amp;"Arial CE,Obyčejné"&amp;10Příklad: Vzájemná shoda metod DCF a EVA</oddHeader>
    <oddFooter>&amp;C&amp;"Arial CE,Obyčejné"&amp;10&amp;A - str. &amp;P&amp;R&amp;"Arial CE,Obyčejné"&amp;10©  Miloš Mařík, Pavla Maříková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K22"/>
  <sheetViews>
    <sheetView showGridLines="0" workbookViewId="0"/>
  </sheetViews>
  <sheetFormatPr defaultRowHeight="15.75" x14ac:dyDescent="0.25"/>
  <cols>
    <col min="1" max="1" width="10.125" customWidth="1"/>
    <col min="2" max="5" width="7.25" customWidth="1"/>
    <col min="6" max="6" width="16.625" customWidth="1"/>
    <col min="7" max="10" width="7.125" customWidth="1"/>
    <col min="11" max="11" width="0.75" customWidth="1"/>
  </cols>
  <sheetData>
    <row r="1" spans="1:11" ht="18.75" x14ac:dyDescent="0.3">
      <c r="A1" s="554" t="s">
        <v>400</v>
      </c>
      <c r="J1" s="555" t="s">
        <v>290</v>
      </c>
    </row>
    <row r="2" spans="1:11" ht="20.25" customHeight="1" x14ac:dyDescent="0.25">
      <c r="A2" s="3" t="s">
        <v>238</v>
      </c>
    </row>
    <row r="4" spans="1:11" ht="16.5" thickBot="1" x14ac:dyDescent="0.3">
      <c r="A4" s="2" t="s">
        <v>148</v>
      </c>
    </row>
    <row r="5" spans="1:11" ht="16.5" thickBot="1" x14ac:dyDescent="0.3">
      <c r="A5" s="265" t="s">
        <v>5</v>
      </c>
      <c r="B5" s="238">
        <f>'1 Aktiva'!B3</f>
        <v>2022</v>
      </c>
      <c r="C5" s="266">
        <f>'1 Aktiva'!C3</f>
        <v>2023</v>
      </c>
      <c r="D5" s="240">
        <f>'1 Aktiva'!D3</f>
        <v>2024</v>
      </c>
      <c r="E5" s="241">
        <f>'1 Aktiva'!E3</f>
        <v>2025</v>
      </c>
      <c r="F5" s="325" t="s">
        <v>11</v>
      </c>
      <c r="G5" s="238">
        <f>B5</f>
        <v>2022</v>
      </c>
      <c r="H5" s="266">
        <f>C5</f>
        <v>2023</v>
      </c>
      <c r="I5" s="240">
        <f>D5</f>
        <v>2024</v>
      </c>
      <c r="J5" s="241">
        <f>E5</f>
        <v>2025</v>
      </c>
      <c r="K5" s="63"/>
    </row>
    <row r="6" spans="1:11" ht="30" x14ac:dyDescent="0.25">
      <c r="A6" s="540" t="s">
        <v>149</v>
      </c>
      <c r="B6" s="324">
        <f>'1 Aktiva'!B5</f>
        <v>65394</v>
      </c>
      <c r="C6" s="323">
        <f>'1 Aktiva'!C5</f>
        <v>66043</v>
      </c>
      <c r="D6" s="86">
        <f>'1 Aktiva'!D5</f>
        <v>67043</v>
      </c>
      <c r="E6" s="153">
        <f>'1 Aktiva'!E5</f>
        <v>67043</v>
      </c>
      <c r="F6" s="326" t="s">
        <v>53</v>
      </c>
      <c r="G6" s="268">
        <f>'2 Rezervy - Pasiva'!B5</f>
        <v>63429.603499999997</v>
      </c>
      <c r="H6" s="269">
        <f>'2 Rezervy - Pasiva'!C5</f>
        <v>76899.622999999992</v>
      </c>
      <c r="I6" s="156">
        <f>'2 Rezervy - Pasiva'!D5</f>
        <v>90365.949499999988</v>
      </c>
      <c r="J6" s="177">
        <f>'2 Rezervy - Pasiva'!E5</f>
        <v>108100.3815</v>
      </c>
      <c r="K6" s="63"/>
    </row>
    <row r="7" spans="1:11" x14ac:dyDescent="0.25">
      <c r="A7" s="413"/>
      <c r="B7" s="413"/>
      <c r="C7" s="123"/>
      <c r="D7" s="123"/>
      <c r="E7" s="68"/>
      <c r="F7" s="534" t="s">
        <v>54</v>
      </c>
      <c r="G7" s="537">
        <f>'2 Rezervy - Pasiva'!B12</f>
        <v>900</v>
      </c>
      <c r="H7" s="536">
        <f>'2 Rezervy - Pasiva'!C12</f>
        <v>1000</v>
      </c>
      <c r="I7" s="154">
        <f>'2 Rezervy - Pasiva'!D12</f>
        <v>500</v>
      </c>
      <c r="J7" s="155">
        <f>'2 Rezervy - Pasiva'!E12</f>
        <v>500</v>
      </c>
      <c r="K7" s="63"/>
    </row>
    <row r="8" spans="1:11" ht="45.75" thickBot="1" x14ac:dyDescent="0.3">
      <c r="A8" s="541" t="s">
        <v>159</v>
      </c>
      <c r="B8" s="539">
        <f>'3 Marketing - příprava'!B17</f>
        <v>1660</v>
      </c>
      <c r="C8" s="538">
        <f>'3 Marketing - příprava'!C17</f>
        <v>3230</v>
      </c>
      <c r="D8" s="342">
        <f>'3 Marketing - příprava'!D17</f>
        <v>1200</v>
      </c>
      <c r="E8" s="342">
        <f>'3 Marketing - příprava'!E17</f>
        <v>0</v>
      </c>
      <c r="F8" s="535" t="s">
        <v>165</v>
      </c>
      <c r="G8" s="328">
        <f>B8</f>
        <v>1660</v>
      </c>
      <c r="H8" s="329">
        <f>C8</f>
        <v>3230</v>
      </c>
      <c r="I8" s="330">
        <f>D8</f>
        <v>1200</v>
      </c>
      <c r="J8" s="331">
        <f>E8</f>
        <v>0</v>
      </c>
      <c r="K8" s="63"/>
    </row>
    <row r="9" spans="1:11" ht="30.75" thickBot="1" x14ac:dyDescent="0.3">
      <c r="A9" s="540" t="s">
        <v>55</v>
      </c>
      <c r="B9" s="324">
        <f>'1 Aktiva'!B12-'1 Pasiva'!B15</f>
        <v>35708.603499999997</v>
      </c>
      <c r="C9" s="323">
        <f>'1 Aktiva'!C12-'1 Pasiva'!C15</f>
        <v>53163.622999999992</v>
      </c>
      <c r="D9" s="86">
        <f>'1 Aktiva'!D12-'1 Pasiva'!D15</f>
        <v>67618.949500000002</v>
      </c>
      <c r="E9" s="86">
        <f>'1 Aktiva'!E12-'1 Pasiva'!E15</f>
        <v>85353.381500000003</v>
      </c>
      <c r="F9" s="320" t="s">
        <v>56</v>
      </c>
      <c r="G9" s="275">
        <f>'1 Pasiva'!B13+'1 Pasiva'!B14</f>
        <v>36773</v>
      </c>
      <c r="H9" s="276">
        <f>'1 Pasiva'!C13+'1 Pasiva'!C14</f>
        <v>41307</v>
      </c>
      <c r="I9" s="84">
        <f>'1 Pasiva'!D13+'1 Pasiva'!D14</f>
        <v>43796</v>
      </c>
      <c r="J9" s="84">
        <f>'1 Pasiva'!E13+'1 Pasiva'!E14</f>
        <v>43796</v>
      </c>
      <c r="K9" s="63"/>
    </row>
    <row r="10" spans="1:11" ht="16.5" thickBot="1" x14ac:dyDescent="0.3">
      <c r="A10" s="277" t="s">
        <v>57</v>
      </c>
      <c r="B10" s="278">
        <f>SUM(B6:B9)</f>
        <v>102762.6035</v>
      </c>
      <c r="C10" s="279">
        <f>SUM(C6:C9)</f>
        <v>122436.62299999999</v>
      </c>
      <c r="D10" s="85">
        <f>SUM(D6:D9)</f>
        <v>135861.94949999999</v>
      </c>
      <c r="E10" s="85">
        <f>SUM(E6:E9)</f>
        <v>152396.38150000002</v>
      </c>
      <c r="F10" s="322" t="s">
        <v>57</v>
      </c>
      <c r="G10" s="278">
        <f>SUM(G6:G9)</f>
        <v>102762.6035</v>
      </c>
      <c r="H10" s="279">
        <f>SUM(H6:H9)</f>
        <v>122436.62299999999</v>
      </c>
      <c r="I10" s="85">
        <f>SUM(I6:I9)</f>
        <v>135861.94949999999</v>
      </c>
      <c r="J10" s="85">
        <f>SUM(J6:J9)</f>
        <v>152396.38150000002</v>
      </c>
      <c r="K10" s="63"/>
    </row>
    <row r="11" spans="1:11" x14ac:dyDescent="0.25">
      <c r="A11" s="144"/>
      <c r="B11" s="145"/>
      <c r="C11" s="145"/>
      <c r="D11" s="145"/>
      <c r="E11" s="145"/>
      <c r="F11" s="142"/>
      <c r="G11" s="143"/>
      <c r="H11" s="143"/>
      <c r="I11" s="143"/>
      <c r="J11" s="143"/>
    </row>
    <row r="12" spans="1:11" ht="16.5" thickBot="1" x14ac:dyDescent="0.3">
      <c r="A12" s="2" t="s">
        <v>243</v>
      </c>
    </row>
    <row r="13" spans="1:11" ht="16.5" thickBot="1" x14ac:dyDescent="0.3">
      <c r="A13" s="264"/>
      <c r="B13" s="280"/>
      <c r="C13" s="280"/>
      <c r="D13" s="280"/>
      <c r="E13" s="280"/>
      <c r="F13" s="281"/>
      <c r="G13" s="238">
        <f>B5</f>
        <v>2022</v>
      </c>
      <c r="H13" s="239">
        <f>C5</f>
        <v>2023</v>
      </c>
      <c r="I13" s="240">
        <f>D5</f>
        <v>2024</v>
      </c>
      <c r="J13" s="241">
        <f>E5</f>
        <v>2025</v>
      </c>
      <c r="K13" s="63"/>
    </row>
    <row r="14" spans="1:11" x14ac:dyDescent="0.25">
      <c r="A14" s="66" t="s">
        <v>102</v>
      </c>
      <c r="B14" s="67"/>
      <c r="C14" s="67"/>
      <c r="D14" s="67"/>
      <c r="E14" s="67"/>
      <c r="F14" s="68"/>
      <c r="G14" s="282">
        <f>'1 Informace'!$D$15*'1 Pasiva'!B15</f>
        <v>8859.6</v>
      </c>
      <c r="H14" s="69">
        <f>'1 Informace'!$D$15*'1 Pasiva'!C15</f>
        <v>11155.8</v>
      </c>
      <c r="I14" s="69">
        <f>'1 Informace'!$D$15*'1 Pasiva'!D15</f>
        <v>12188.4</v>
      </c>
      <c r="J14" s="69">
        <f>'1 Informace'!$D$15*'1 Pasiva'!E15</f>
        <v>12974.4</v>
      </c>
      <c r="K14" s="63"/>
    </row>
    <row r="15" spans="1:11" x14ac:dyDescent="0.25">
      <c r="A15" s="63" t="s">
        <v>103</v>
      </c>
      <c r="F15" s="65"/>
      <c r="G15" s="283">
        <f>'1 Aktiva'!B21-'3 Marketing - NOA'!G14</f>
        <v>17629.003499999999</v>
      </c>
      <c r="H15" s="70">
        <f>'1 Aktiva'!C21-'3 Marketing - NOA'!H14</f>
        <v>28000.823</v>
      </c>
      <c r="I15" s="70">
        <f>'1 Aktiva'!D21-'3 Marketing - NOA'!I14</f>
        <v>35963.549500000001</v>
      </c>
      <c r="J15" s="70">
        <f>'1 Aktiva'!E21-'3 Marketing - NOA'!J14</f>
        <v>51343.981500000002</v>
      </c>
      <c r="K15" s="63"/>
    </row>
    <row r="16" spans="1:11" x14ac:dyDescent="0.25">
      <c r="A16" s="63" t="s">
        <v>150</v>
      </c>
      <c r="F16" s="65"/>
      <c r="G16" s="283">
        <f>'1 Aktiva'!B10</f>
        <v>11000</v>
      </c>
      <c r="H16" s="70">
        <f>'1 Aktiva'!C10</f>
        <v>11000</v>
      </c>
      <c r="I16" s="70">
        <f>'1 Aktiva'!D10</f>
        <v>11000</v>
      </c>
      <c r="J16" s="70">
        <f>'1 Aktiva'!E10</f>
        <v>11000</v>
      </c>
      <c r="K16" s="63"/>
    </row>
    <row r="17" spans="1:11" ht="16.5" thickBot="1" x14ac:dyDescent="0.3">
      <c r="A17" s="63" t="s">
        <v>151</v>
      </c>
      <c r="F17" s="65"/>
      <c r="G17" s="283">
        <f>'1 Aktiva'!B20</f>
        <v>5000</v>
      </c>
      <c r="H17" s="70">
        <f>'1 Aktiva'!C20</f>
        <v>5000</v>
      </c>
      <c r="I17" s="70">
        <f>'1 Aktiva'!D20</f>
        <v>5000</v>
      </c>
      <c r="J17" s="70">
        <f>'1 Aktiva'!E20</f>
        <v>5000</v>
      </c>
      <c r="K17" s="63"/>
    </row>
    <row r="18" spans="1:11" ht="16.5" thickBot="1" x14ac:dyDescent="0.3">
      <c r="A18" s="71" t="s">
        <v>58</v>
      </c>
      <c r="B18" s="72"/>
      <c r="C18" s="72"/>
      <c r="D18" s="72"/>
      <c r="E18" s="72"/>
      <c r="F18" s="73"/>
      <c r="G18" s="284">
        <f>SUM(G15:G17)</f>
        <v>33629.003499999999</v>
      </c>
      <c r="H18" s="64">
        <f>SUM(H15:H17)</f>
        <v>44000.823000000004</v>
      </c>
      <c r="I18" s="64">
        <f>SUM(I15:I17)</f>
        <v>51963.549500000001</v>
      </c>
      <c r="J18" s="64">
        <f>SUM(J15:J17)</f>
        <v>67343.981499999994</v>
      </c>
      <c r="K18" s="63"/>
    </row>
    <row r="20" spans="1:11" ht="16.5" thickBot="1" x14ac:dyDescent="0.3">
      <c r="A20" s="2" t="s">
        <v>228</v>
      </c>
    </row>
    <row r="21" spans="1:11" ht="16.5" thickBot="1" x14ac:dyDescent="0.3">
      <c r="A21" s="264"/>
      <c r="B21" s="280"/>
      <c r="C21" s="280"/>
      <c r="D21" s="280"/>
      <c r="E21" s="280"/>
      <c r="F21" s="281"/>
      <c r="G21" s="238">
        <f>G13</f>
        <v>2022</v>
      </c>
      <c r="H21" s="239">
        <f>H13</f>
        <v>2023</v>
      </c>
      <c r="I21" s="240">
        <f>I13</f>
        <v>2024</v>
      </c>
      <c r="J21" s="241">
        <f>J13</f>
        <v>2025</v>
      </c>
      <c r="K21" s="63"/>
    </row>
    <row r="22" spans="1:11" ht="16.5" thickBot="1" x14ac:dyDescent="0.3">
      <c r="A22" s="71" t="s">
        <v>229</v>
      </c>
      <c r="B22" s="72"/>
      <c r="C22" s="72"/>
      <c r="D22" s="72"/>
      <c r="E22" s="72"/>
      <c r="F22" s="73"/>
      <c r="G22" s="284">
        <f>G10-G18</f>
        <v>69133.600000000006</v>
      </c>
      <c r="H22" s="64">
        <f>H10-H18</f>
        <v>78435.799999999988</v>
      </c>
      <c r="I22" s="64">
        <f>I10-I18</f>
        <v>83898.4</v>
      </c>
      <c r="J22" s="64">
        <f>J10-J18</f>
        <v>85052.400000000023</v>
      </c>
      <c r="K22" s="63"/>
    </row>
  </sheetData>
  <phoneticPr fontId="0" type="noConversion"/>
  <hyperlinks>
    <hyperlink ref="J1" location="Obsah!A1" display="Skok na obsah" xr:uid="{00000000-0004-0000-1000-000000000000}"/>
  </hyperlinks>
  <printOptions gridLinesSet="0"/>
  <pageMargins left="0.78740157480314965" right="0.78740157480314965" top="0.98425196850393704" bottom="0.78740157480314965" header="0.51181102362204722" footer="0.51181102362204722"/>
  <pageSetup paperSize="9" scale="94" orientation="portrait" r:id="rId1"/>
  <headerFooter alignWithMargins="0">
    <oddHeader>&amp;L&amp;"Arial CE,Obyčejné"&amp;10Mařík, M. a kol.: Metody oceňování podniku pro pokročilé
Ekopress 2023&amp;R&amp;"Arial CE,Obyčejné"&amp;10Příklad: Vzájemná shoda metod DCF a EVA</oddHeader>
    <oddFooter>&amp;C&amp;"Arial CE,Obyčejné"&amp;10&amp;A - str. &amp;P&amp;R&amp;"Arial CE,Obyčejné"&amp;10©  Miloš Mařík, Pavla Maříková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indexed="43"/>
    <pageSetUpPr fitToPage="1"/>
  </sheetPr>
  <dimension ref="A1:E74"/>
  <sheetViews>
    <sheetView showGridLines="0" workbookViewId="0"/>
  </sheetViews>
  <sheetFormatPr defaultRowHeight="15.75" x14ac:dyDescent="0.25"/>
  <cols>
    <col min="1" max="1" width="40.625" customWidth="1"/>
    <col min="2" max="5" width="8.625" customWidth="1"/>
    <col min="6" max="6" width="5.5" customWidth="1"/>
    <col min="7" max="7" width="3" customWidth="1"/>
  </cols>
  <sheetData>
    <row r="1" spans="1:5" ht="18.75" x14ac:dyDescent="0.3">
      <c r="A1" s="554" t="s">
        <v>400</v>
      </c>
      <c r="E1" s="555" t="s">
        <v>290</v>
      </c>
    </row>
    <row r="2" spans="1:5" ht="20.25" customHeight="1" x14ac:dyDescent="0.25">
      <c r="A2" s="3" t="s">
        <v>236</v>
      </c>
    </row>
    <row r="3" spans="1:5" x14ac:dyDescent="0.25">
      <c r="A3" s="130" t="str">
        <f>"Výsledky hospodaření v roce "&amp;FIXED(rok+4,0,1)&amp;" budou stejné jako v roce "&amp;FIXED(rok+3,0,1)&amp;", ale již se v nich"</f>
        <v>Výsledky hospodaření v roce 2026 budou stejné jako v roce 2025, ale již se v nich</v>
      </c>
    </row>
    <row r="4" spans="1:5" x14ac:dyDescent="0.25">
      <c r="A4" s="130" t="s">
        <v>83</v>
      </c>
    </row>
    <row r="5" spans="1:5" x14ac:dyDescent="0.25">
      <c r="A5" s="165" t="s">
        <v>152</v>
      </c>
      <c r="B5" s="164">
        <f>'1 Společné úpravy - WACC'!B6</f>
        <v>0.19</v>
      </c>
      <c r="C5" s="164">
        <f>'1 Společné úpravy - WACC'!C6</f>
        <v>0.19</v>
      </c>
      <c r="D5" s="164">
        <f>'1 Společné úpravy - WACC'!D6</f>
        <v>0.19</v>
      </c>
      <c r="E5" s="164">
        <f>'1 Společné úpravy - WACC'!E6</f>
        <v>0.19</v>
      </c>
    </row>
    <row r="6" spans="1:5" x14ac:dyDescent="0.25">
      <c r="A6" s="134"/>
      <c r="B6" s="332"/>
      <c r="C6" s="332"/>
      <c r="D6" s="332"/>
      <c r="E6" s="332"/>
    </row>
    <row r="7" spans="1:5" x14ac:dyDescent="0.25">
      <c r="A7" s="2" t="s">
        <v>234</v>
      </c>
    </row>
    <row r="8" spans="1:5" ht="31.5" x14ac:dyDescent="0.25">
      <c r="A8" s="301"/>
      <c r="B8" s="302">
        <f>rok+1</f>
        <v>2023</v>
      </c>
      <c r="C8" s="302">
        <f>B8+1</f>
        <v>2024</v>
      </c>
      <c r="D8" s="302">
        <f>C8+1</f>
        <v>2025</v>
      </c>
      <c r="E8" s="300" t="str">
        <f>FIXED(D8+1,0,1)&amp;" 2.fáze"</f>
        <v>2026 2.fáze</v>
      </c>
    </row>
    <row r="9" spans="1:5" x14ac:dyDescent="0.25">
      <c r="A9" s="88" t="s">
        <v>114</v>
      </c>
      <c r="B9" s="133">
        <f>'2 Rezervy - Výsledovka'!C10</f>
        <v>23884.600000000006</v>
      </c>
      <c r="C9" s="133">
        <f>'2 Rezervy - Výsledovka'!D10</f>
        <v>23966</v>
      </c>
      <c r="D9" s="133">
        <f>'2 Rezervy - Výsledovka'!E10</f>
        <v>29477</v>
      </c>
      <c r="E9" s="133">
        <f>'2 Rezervy - Výsledovka'!E10+'2 Rezervy - Výsledovka'!E8</f>
        <v>29477</v>
      </c>
    </row>
    <row r="10" spans="1:5" x14ac:dyDescent="0.25">
      <c r="A10" s="176" t="s">
        <v>115</v>
      </c>
      <c r="B10" s="166">
        <f>'2 Rezervy - Výsledovka'!C8</f>
        <v>100</v>
      </c>
      <c r="C10" s="166">
        <f>'2 Rezervy - Výsledovka'!D8</f>
        <v>-500</v>
      </c>
      <c r="D10" s="166">
        <f>'2 Rezervy - Výsledovka'!E8</f>
        <v>0</v>
      </c>
      <c r="E10" s="136">
        <v>0</v>
      </c>
    </row>
    <row r="11" spans="1:5" x14ac:dyDescent="0.25">
      <c r="A11" s="368" t="s">
        <v>200</v>
      </c>
      <c r="B11" s="343">
        <f>'3 Marketing - příprava'!C11</f>
        <v>3600</v>
      </c>
      <c r="C11" s="344">
        <f>'3 Marketing - příprava'!D11</f>
        <v>0</v>
      </c>
      <c r="D11" s="344">
        <f>'3 Marketing - příprava'!E11</f>
        <v>0</v>
      </c>
      <c r="E11" s="344">
        <v>0</v>
      </c>
    </row>
    <row r="12" spans="1:5" x14ac:dyDescent="0.25">
      <c r="A12" s="369" t="s">
        <v>201</v>
      </c>
      <c r="B12" s="334">
        <f>-'3 Marketing - příprava'!C14</f>
        <v>-2030</v>
      </c>
      <c r="C12" s="335">
        <f>-'3 Marketing - příprava'!D14</f>
        <v>-2030</v>
      </c>
      <c r="D12" s="335">
        <f>-'3 Marketing - příprava'!E14</f>
        <v>-1200</v>
      </c>
      <c r="E12" s="335">
        <v>0</v>
      </c>
    </row>
    <row r="13" spans="1:5" x14ac:dyDescent="0.25">
      <c r="A13" s="89" t="s">
        <v>249</v>
      </c>
      <c r="B13" s="167">
        <f>SUM(B9:B12)</f>
        <v>25554.600000000006</v>
      </c>
      <c r="C13" s="82">
        <f>SUM(C9:C12)</f>
        <v>21436</v>
      </c>
      <c r="D13" s="82">
        <f>SUM(D9:D12)</f>
        <v>28277</v>
      </c>
      <c r="E13" s="82">
        <f>SUM(E9:E12)</f>
        <v>29477</v>
      </c>
    </row>
    <row r="14" spans="1:5" x14ac:dyDescent="0.25">
      <c r="A14" s="88" t="s">
        <v>84</v>
      </c>
      <c r="B14" s="133">
        <f>'1 Společné úpravy - Hodnota'!B10</f>
        <v>4557.0740000000014</v>
      </c>
      <c r="C14" s="133">
        <f>'1 Společné úpravy - Hodnota'!C10</f>
        <v>4458.54</v>
      </c>
      <c r="D14" s="133">
        <f>'1 Společné úpravy - Hodnota'!D10</f>
        <v>5600.63</v>
      </c>
      <c r="E14" s="133">
        <f>'1 Společné úpravy - Hodnota'!E10</f>
        <v>5600.63</v>
      </c>
    </row>
    <row r="15" spans="1:5" x14ac:dyDescent="0.25">
      <c r="A15" s="303" t="s">
        <v>248</v>
      </c>
      <c r="B15" s="304">
        <f>B13-B14</f>
        <v>20997.526000000005</v>
      </c>
      <c r="C15" s="305">
        <f>C13-C14</f>
        <v>16977.46</v>
      </c>
      <c r="D15" s="305">
        <f>D13-D14</f>
        <v>22676.37</v>
      </c>
      <c r="E15" s="305">
        <f>E13-E14</f>
        <v>23876.37</v>
      </c>
    </row>
    <row r="16" spans="1:5" x14ac:dyDescent="0.25">
      <c r="B16" s="108"/>
    </row>
    <row r="17" spans="1:5" x14ac:dyDescent="0.25">
      <c r="A17" s="2" t="s">
        <v>235</v>
      </c>
    </row>
    <row r="18" spans="1:5" ht="31.5" x14ac:dyDescent="0.25">
      <c r="A18" s="301"/>
      <c r="B18" s="302">
        <f>rok+1</f>
        <v>2023</v>
      </c>
      <c r="C18" s="302">
        <f>B18+1</f>
        <v>2024</v>
      </c>
      <c r="D18" s="302">
        <f>C18+1</f>
        <v>2025</v>
      </c>
      <c r="E18" s="300" t="str">
        <f>FIXED(D18+1,0,1)&amp;" 2.fáze"</f>
        <v>2026 2.fáze</v>
      </c>
    </row>
    <row r="19" spans="1:5" x14ac:dyDescent="0.25">
      <c r="A19" s="88" t="s">
        <v>114</v>
      </c>
      <c r="B19" s="133">
        <f>'2 Rezervy - Výsledovka'!C10</f>
        <v>23884.600000000006</v>
      </c>
      <c r="C19" s="133">
        <f>'2 Rezervy - Výsledovka'!D10</f>
        <v>23966</v>
      </c>
      <c r="D19" s="133">
        <f>'2 Rezervy - Výsledovka'!E10</f>
        <v>29477</v>
      </c>
      <c r="E19" s="81">
        <f>D19</f>
        <v>29477</v>
      </c>
    </row>
    <row r="20" spans="1:5" x14ac:dyDescent="0.25">
      <c r="A20" s="368" t="s">
        <v>200</v>
      </c>
      <c r="B20" s="343">
        <f>'3 Marketing - příprava'!C11</f>
        <v>3600</v>
      </c>
      <c r="C20" s="343">
        <f>'3 Marketing - příprava'!D11</f>
        <v>0</v>
      </c>
      <c r="D20" s="343">
        <f>'3 Marketing - příprava'!E11</f>
        <v>0</v>
      </c>
      <c r="E20" s="344">
        <v>0</v>
      </c>
    </row>
    <row r="21" spans="1:5" x14ac:dyDescent="0.25">
      <c r="A21" s="369" t="s">
        <v>201</v>
      </c>
      <c r="B21" s="334">
        <f>-'3 Marketing - příprava'!C14</f>
        <v>-2030</v>
      </c>
      <c r="C21" s="334">
        <f>-'3 Marketing - příprava'!D14</f>
        <v>-2030</v>
      </c>
      <c r="D21" s="334">
        <f>-'3 Marketing - příprava'!E14</f>
        <v>-1200</v>
      </c>
      <c r="E21" s="335">
        <v>0</v>
      </c>
    </row>
    <row r="22" spans="1:5" x14ac:dyDescent="0.25">
      <c r="A22" s="89" t="s">
        <v>101</v>
      </c>
      <c r="B22" s="167">
        <f>SUM(B19:B21)</f>
        <v>25454.600000000006</v>
      </c>
      <c r="C22" s="82">
        <f>SUM(C19:C21)</f>
        <v>21936</v>
      </c>
      <c r="D22" s="82">
        <f>SUM(D19:D21)</f>
        <v>28277</v>
      </c>
      <c r="E22" s="82">
        <f>SUM(E19:E21)</f>
        <v>29477</v>
      </c>
    </row>
    <row r="23" spans="1:5" x14ac:dyDescent="0.25">
      <c r="A23" s="88" t="s">
        <v>84</v>
      </c>
      <c r="B23" s="133">
        <f>'1 Společné úpravy - Hodnota'!B10</f>
        <v>4557.0740000000014</v>
      </c>
      <c r="C23" s="133">
        <f>'1 Společné úpravy - Hodnota'!C10</f>
        <v>4458.54</v>
      </c>
      <c r="D23" s="133">
        <f>'1 Společné úpravy - Hodnota'!D10</f>
        <v>5600.63</v>
      </c>
      <c r="E23" s="133">
        <f>'1 Společné úpravy - Hodnota'!E10</f>
        <v>5600.63</v>
      </c>
    </row>
    <row r="24" spans="1:5" x14ac:dyDescent="0.25">
      <c r="A24" s="303" t="s">
        <v>155</v>
      </c>
      <c r="B24" s="304">
        <f>B22-B23</f>
        <v>20897.526000000005</v>
      </c>
      <c r="C24" s="305">
        <f>C22-C23</f>
        <v>17477.46</v>
      </c>
      <c r="D24" s="305">
        <f>D22-D23</f>
        <v>22676.37</v>
      </c>
      <c r="E24" s="305">
        <f>E22-E23</f>
        <v>23876.37</v>
      </c>
    </row>
    <row r="25" spans="1:5" x14ac:dyDescent="0.25">
      <c r="B25" s="108"/>
    </row>
    <row r="26" spans="1:5" x14ac:dyDescent="0.25">
      <c r="A26" s="3" t="s">
        <v>262</v>
      </c>
    </row>
    <row r="28" spans="1:5" x14ac:dyDescent="0.25">
      <c r="A28" s="2" t="s">
        <v>85</v>
      </c>
      <c r="C28" s="108"/>
    </row>
    <row r="29" spans="1:5" ht="31.5" x14ac:dyDescent="0.25">
      <c r="A29" s="301"/>
      <c r="B29" s="302">
        <f>B8</f>
        <v>2023</v>
      </c>
      <c r="C29" s="302">
        <f>C8</f>
        <v>2024</v>
      </c>
      <c r="D29" s="302">
        <f>D8</f>
        <v>2025</v>
      </c>
      <c r="E29" s="300" t="str">
        <f>E8</f>
        <v>2026 2.fáze</v>
      </c>
    </row>
    <row r="30" spans="1:5" x14ac:dyDescent="0.25">
      <c r="A30" s="169" t="s">
        <v>109</v>
      </c>
      <c r="B30" s="41">
        <f>B15</f>
        <v>20997.526000000005</v>
      </c>
      <c r="C30" s="41">
        <f>C15</f>
        <v>16977.46</v>
      </c>
      <c r="D30" s="41">
        <f>D15</f>
        <v>22676.37</v>
      </c>
      <c r="E30" s="41">
        <f>E15</f>
        <v>23876.37</v>
      </c>
    </row>
    <row r="31" spans="1:5" x14ac:dyDescent="0.25">
      <c r="A31" s="74" t="s">
        <v>82</v>
      </c>
      <c r="B31" s="175">
        <f>'1 Společné úpravy - WACC'!B28</f>
        <v>9.557296502733692E-2</v>
      </c>
      <c r="C31" s="175">
        <f>'1 Společné úpravy - WACC'!C28</f>
        <v>9.3572921150700442E-2</v>
      </c>
      <c r="D31" s="175">
        <f>'1 Společné úpravy - WACC'!D28</f>
        <v>9.3083259169047722E-2</v>
      </c>
      <c r="E31" s="175">
        <f>'1 Společné úpravy - WACC'!E28</f>
        <v>9.361151329528053E-2</v>
      </c>
    </row>
    <row r="32" spans="1:5" x14ac:dyDescent="0.25">
      <c r="A32" s="74" t="s">
        <v>153</v>
      </c>
      <c r="B32" s="124">
        <f>'3 Marketing - NOA'!G22</f>
        <v>69133.600000000006</v>
      </c>
      <c r="C32" s="124">
        <f>'3 Marketing - NOA'!H22</f>
        <v>78435.799999999988</v>
      </c>
      <c r="D32" s="124">
        <f>'3 Marketing - NOA'!I22</f>
        <v>83898.4</v>
      </c>
      <c r="E32" s="124">
        <f>'3 Marketing - NOA'!J22</f>
        <v>85052.400000000023</v>
      </c>
    </row>
    <row r="33" spans="1:5" x14ac:dyDescent="0.25">
      <c r="A33" s="107" t="s">
        <v>237</v>
      </c>
      <c r="B33" s="133">
        <f>B31*B32</f>
        <v>6607.3031350138999</v>
      </c>
      <c r="C33" s="133">
        <f>C31*C32</f>
        <v>7339.4669287921088</v>
      </c>
      <c r="D33" s="133">
        <f>D31*D32</f>
        <v>7809.5365110684324</v>
      </c>
      <c r="E33" s="133">
        <f>E31*E32</f>
        <v>7961.8838733955199</v>
      </c>
    </row>
    <row r="34" spans="1:5" x14ac:dyDescent="0.25">
      <c r="A34" s="303" t="s">
        <v>86</v>
      </c>
      <c r="B34" s="304">
        <f>B30-B33</f>
        <v>14390.222864986106</v>
      </c>
      <c r="C34" s="304">
        <f>C30-C33</f>
        <v>9637.9930712078894</v>
      </c>
      <c r="D34" s="304">
        <f>D30-D33</f>
        <v>14866.833488931567</v>
      </c>
      <c r="E34" s="304">
        <f>E30-E33</f>
        <v>15914.486126604479</v>
      </c>
    </row>
    <row r="36" spans="1:5" x14ac:dyDescent="0.25">
      <c r="A36" s="2" t="s">
        <v>87</v>
      </c>
    </row>
    <row r="37" spans="1:5" ht="31.5" x14ac:dyDescent="0.25">
      <c r="A37" s="301"/>
      <c r="B37" s="302">
        <f>rok+1</f>
        <v>2023</v>
      </c>
      <c r="C37" s="302">
        <f>B37+1</f>
        <v>2024</v>
      </c>
      <c r="D37" s="302">
        <f>C37+1</f>
        <v>2025</v>
      </c>
      <c r="E37" s="300" t="str">
        <f>FIXED(D37+1,0,1)&amp;" 2.fáze"</f>
        <v>2026 2.fáze</v>
      </c>
    </row>
    <row r="38" spans="1:5" x14ac:dyDescent="0.25">
      <c r="A38" s="77" t="s">
        <v>88</v>
      </c>
      <c r="B38" s="79">
        <f>B34</f>
        <v>14390.222864986106</v>
      </c>
      <c r="C38" s="79">
        <f>C34</f>
        <v>9637.9930712078894</v>
      </c>
      <c r="D38" s="79">
        <f>D34</f>
        <v>14866.833488931567</v>
      </c>
      <c r="E38" s="79">
        <f>E34</f>
        <v>15914.486126604479</v>
      </c>
    </row>
    <row r="39" spans="1:5" x14ac:dyDescent="0.25">
      <c r="A39" s="78" t="s">
        <v>82</v>
      </c>
      <c r="B39" s="170">
        <f>B31</f>
        <v>9.557296502733692E-2</v>
      </c>
      <c r="C39" s="170">
        <f>C31</f>
        <v>9.3572921150700442E-2</v>
      </c>
      <c r="D39" s="170">
        <f>D31</f>
        <v>9.3083259169047722E-2</v>
      </c>
      <c r="E39" s="170">
        <f>E31</f>
        <v>9.361151329528053E-2</v>
      </c>
    </row>
    <row r="40" spans="1:5" x14ac:dyDescent="0.25">
      <c r="A40" s="78" t="s">
        <v>145</v>
      </c>
      <c r="B40" s="101">
        <f>1/(1+B39)</f>
        <v>0.91276439992752822</v>
      </c>
      <c r="C40" s="101">
        <f>B40/(1+C39)</f>
        <v>0.83466258378735425</v>
      </c>
      <c r="D40" s="101">
        <f>C40/(1+D39)</f>
        <v>0.76358555195681743</v>
      </c>
      <c r="E40" s="129"/>
    </row>
    <row r="41" spans="1:5" x14ac:dyDescent="0.25">
      <c r="A41" s="78" t="s">
        <v>89</v>
      </c>
      <c r="B41" s="81">
        <f>B38*B40</f>
        <v>13134.883138182438</v>
      </c>
      <c r="C41" s="81">
        <f>C38*C40</f>
        <v>8044.4721993389949</v>
      </c>
      <c r="D41" s="81">
        <f>D38*D40</f>
        <v>11352.099255495908</v>
      </c>
      <c r="E41" s="108"/>
    </row>
    <row r="43" spans="1:5" x14ac:dyDescent="0.25">
      <c r="A43" s="2" t="s">
        <v>90</v>
      </c>
    </row>
    <row r="44" spans="1:5" x14ac:dyDescent="0.25">
      <c r="A44" s="40" t="s">
        <v>91</v>
      </c>
      <c r="B44" s="102">
        <f>E38/E39</f>
        <v>170005.6495871947</v>
      </c>
    </row>
    <row r="45" spans="1:5" x14ac:dyDescent="0.25">
      <c r="A45" s="77" t="s">
        <v>92</v>
      </c>
      <c r="B45" s="79">
        <f>B44*D40</f>
        <v>129813.85777581536</v>
      </c>
    </row>
    <row r="46" spans="1:5" x14ac:dyDescent="0.25">
      <c r="A46" s="78" t="s">
        <v>93</v>
      </c>
      <c r="B46" s="81">
        <f>SUM(B41:D41)</f>
        <v>32531.454593017341</v>
      </c>
    </row>
    <row r="47" spans="1:5" x14ac:dyDescent="0.25">
      <c r="A47" s="104" t="s">
        <v>94</v>
      </c>
      <c r="B47" s="105">
        <f>B45+B46</f>
        <v>162345.3123688327</v>
      </c>
      <c r="C47" s="345">
        <f>'2 Rezervy - Hodnota'!B42-'3 Marketing - Hodnota'!B47</f>
        <v>1660</v>
      </c>
    </row>
    <row r="48" spans="1:5" x14ac:dyDescent="0.25">
      <c r="A48" s="78" t="s">
        <v>154</v>
      </c>
      <c r="B48" s="81">
        <f>'3 Marketing - NOA'!G22</f>
        <v>69133.600000000006</v>
      </c>
    </row>
    <row r="49" spans="1:5" x14ac:dyDescent="0.25">
      <c r="A49" s="103" t="s">
        <v>95</v>
      </c>
      <c r="B49" s="82">
        <f>B47+B48</f>
        <v>231478.91236883271</v>
      </c>
    </row>
    <row r="50" spans="1:5" x14ac:dyDescent="0.25">
      <c r="A50" s="78" t="s">
        <v>96</v>
      </c>
      <c r="B50" s="81">
        <f>'3 Marketing - NOA'!G9</f>
        <v>36773</v>
      </c>
    </row>
    <row r="51" spans="1:5" x14ac:dyDescent="0.25">
      <c r="A51" s="103" t="s">
        <v>97</v>
      </c>
      <c r="B51" s="82">
        <f>B49-B50</f>
        <v>194705.91236883271</v>
      </c>
    </row>
    <row r="52" spans="1:5" x14ac:dyDescent="0.25">
      <c r="A52" s="78" t="s">
        <v>98</v>
      </c>
      <c r="B52" s="81">
        <f>'3 Marketing - NOA'!G18</f>
        <v>33629.003499999999</v>
      </c>
    </row>
    <row r="53" spans="1:5" x14ac:dyDescent="0.25">
      <c r="A53" s="306" t="s">
        <v>199</v>
      </c>
      <c r="B53" s="307">
        <f>B51+B52</f>
        <v>228334.9158688327</v>
      </c>
    </row>
    <row r="55" spans="1:5" x14ac:dyDescent="0.25">
      <c r="A55" s="3" t="s">
        <v>263</v>
      </c>
    </row>
    <row r="56" spans="1:5" x14ac:dyDescent="0.25">
      <c r="A56" s="2" t="s">
        <v>87</v>
      </c>
    </row>
    <row r="57" spans="1:5" ht="31.5" x14ac:dyDescent="0.25">
      <c r="A57" s="301"/>
      <c r="B57" s="302">
        <f>rok+1</f>
        <v>2023</v>
      </c>
      <c r="C57" s="302">
        <f>B57+1</f>
        <v>2024</v>
      </c>
      <c r="D57" s="302">
        <f>C57+1</f>
        <v>2025</v>
      </c>
      <c r="E57" s="300" t="str">
        <f>FIXED(D57+1,0,1)&amp;" 2.fáze"</f>
        <v>2026 2.fáze</v>
      </c>
    </row>
    <row r="58" spans="1:5" x14ac:dyDescent="0.25">
      <c r="A58" s="87" t="s">
        <v>141</v>
      </c>
      <c r="B58" s="136">
        <f>B24</f>
        <v>20897.526000000005</v>
      </c>
      <c r="C58" s="136">
        <f>C24</f>
        <v>17477.46</v>
      </c>
      <c r="D58" s="136">
        <f>D24</f>
        <v>22676.37</v>
      </c>
      <c r="E58" s="136">
        <f>E24</f>
        <v>23876.37</v>
      </c>
    </row>
    <row r="59" spans="1:5" x14ac:dyDescent="0.25">
      <c r="A59" s="77" t="s">
        <v>142</v>
      </c>
      <c r="B59" s="79">
        <f>'3 Marketing - NOA'!H7-'3 Marketing - NOA'!G7</f>
        <v>100</v>
      </c>
      <c r="C59" s="79">
        <f>'3 Marketing - NOA'!I7-'3 Marketing - NOA'!H7</f>
        <v>-500</v>
      </c>
      <c r="D59" s="79">
        <f>'3 Marketing - NOA'!J7-'3 Marketing - NOA'!I7</f>
        <v>0</v>
      </c>
      <c r="E59" s="79">
        <v>0</v>
      </c>
    </row>
    <row r="60" spans="1:5" x14ac:dyDescent="0.25">
      <c r="A60" s="78" t="s">
        <v>110</v>
      </c>
      <c r="B60" s="81">
        <f>-('3 Marketing - NOA'!H22-'3 Marketing - NOA'!G22)</f>
        <v>-9302.1999999999825</v>
      </c>
      <c r="C60" s="81">
        <f>-('3 Marketing - NOA'!I22-'3 Marketing - NOA'!H22)</f>
        <v>-5462.6000000000058</v>
      </c>
      <c r="D60" s="81">
        <f>-('3 Marketing - NOA'!J22-'3 Marketing - NOA'!I22)</f>
        <v>-1154.0000000000291</v>
      </c>
      <c r="E60" s="81">
        <v>0</v>
      </c>
    </row>
    <row r="61" spans="1:5" x14ac:dyDescent="0.25">
      <c r="A61" s="308" t="s">
        <v>111</v>
      </c>
      <c r="B61" s="309">
        <f>SUM(B58:B60)</f>
        <v>11695.326000000023</v>
      </c>
      <c r="C61" s="309">
        <f>SUM(C58:C60)</f>
        <v>11514.859999999993</v>
      </c>
      <c r="D61" s="309">
        <f>SUM(D58:D60)</f>
        <v>21522.36999999997</v>
      </c>
      <c r="E61" s="309">
        <f>SUM(E58:E60)</f>
        <v>23876.37</v>
      </c>
    </row>
    <row r="62" spans="1:5" x14ac:dyDescent="0.25">
      <c r="A62" s="78" t="s">
        <v>82</v>
      </c>
      <c r="B62" s="170">
        <f>B39</f>
        <v>9.557296502733692E-2</v>
      </c>
      <c r="C62" s="170">
        <f>C39</f>
        <v>9.3572921150700442E-2</v>
      </c>
      <c r="D62" s="170">
        <f>D39</f>
        <v>9.3083259169047722E-2</v>
      </c>
      <c r="E62" s="170">
        <f>E39</f>
        <v>9.361151329528053E-2</v>
      </c>
    </row>
    <row r="63" spans="1:5" x14ac:dyDescent="0.25">
      <c r="A63" s="78" t="s">
        <v>156</v>
      </c>
      <c r="B63" s="101">
        <f>1/(1+B62)</f>
        <v>0.91276439992752822</v>
      </c>
      <c r="C63" s="101">
        <f>B63/(1+C62)</f>
        <v>0.83466258378735425</v>
      </c>
      <c r="D63" s="101">
        <f>C63/(1+D62)</f>
        <v>0.76358555195681743</v>
      </c>
      <c r="E63" s="129"/>
    </row>
    <row r="64" spans="1:5" x14ac:dyDescent="0.25">
      <c r="A64" s="78" t="s">
        <v>112</v>
      </c>
      <c r="B64" s="81">
        <f>B61*B63</f>
        <v>10675.07721834684</v>
      </c>
      <c r="C64" s="81">
        <f>C61*C63</f>
        <v>9611.022799549648</v>
      </c>
      <c r="D64" s="81">
        <f>D61*D63</f>
        <v>16434.170775868824</v>
      </c>
      <c r="E64" s="108"/>
    </row>
    <row r="65" spans="1:5" x14ac:dyDescent="0.25">
      <c r="B65" s="108"/>
      <c r="C65" s="108"/>
      <c r="D65" s="108"/>
      <c r="E65" s="108"/>
    </row>
    <row r="66" spans="1:5" x14ac:dyDescent="0.25">
      <c r="A66" s="2" t="s">
        <v>160</v>
      </c>
    </row>
    <row r="67" spans="1:5" x14ac:dyDescent="0.25">
      <c r="A67" s="40" t="s">
        <v>91</v>
      </c>
      <c r="B67" s="174">
        <f>E61/E62</f>
        <v>255058.04958719472</v>
      </c>
    </row>
    <row r="68" spans="1:5" x14ac:dyDescent="0.25">
      <c r="A68" s="77" t="s">
        <v>92</v>
      </c>
      <c r="B68" s="79">
        <f>B67*D63</f>
        <v>194758.64157506739</v>
      </c>
    </row>
    <row r="69" spans="1:5" x14ac:dyDescent="0.25">
      <c r="A69" s="78" t="s">
        <v>93</v>
      </c>
      <c r="B69" s="81">
        <f>SUM(B64:D64)</f>
        <v>36720.270793765318</v>
      </c>
    </row>
    <row r="70" spans="1:5" x14ac:dyDescent="0.25">
      <c r="A70" s="172" t="s">
        <v>95</v>
      </c>
      <c r="B70" s="173">
        <f>B68+B69</f>
        <v>231478.91236883271</v>
      </c>
    </row>
    <row r="71" spans="1:5" x14ac:dyDescent="0.25">
      <c r="A71" s="78" t="s">
        <v>96</v>
      </c>
      <c r="B71" s="81">
        <f>'3 Marketing - NOA'!G9</f>
        <v>36773</v>
      </c>
    </row>
    <row r="72" spans="1:5" x14ac:dyDescent="0.25">
      <c r="A72" s="103" t="s">
        <v>97</v>
      </c>
      <c r="B72" s="82">
        <f>B70-B71</f>
        <v>194705.91236883271</v>
      </c>
    </row>
    <row r="73" spans="1:5" x14ac:dyDescent="0.25">
      <c r="A73" s="78" t="s">
        <v>98</v>
      </c>
      <c r="B73" s="81">
        <f>'3 Marketing - NOA'!G18</f>
        <v>33629.003499999999</v>
      </c>
    </row>
    <row r="74" spans="1:5" x14ac:dyDescent="0.25">
      <c r="A74" s="306" t="s">
        <v>199</v>
      </c>
      <c r="B74" s="307">
        <f>B72+B73</f>
        <v>228334.9158688327</v>
      </c>
    </row>
  </sheetData>
  <phoneticPr fontId="0" type="noConversion"/>
  <hyperlinks>
    <hyperlink ref="E1" location="Obsah!A1" display="Skok na obsah" xr:uid="{00000000-0004-0000-1100-000000000000}"/>
  </hyperlinks>
  <printOptions gridLinesSet="0"/>
  <pageMargins left="0.78740157480314965" right="0.78740157480314965" top="0.98425196850393704" bottom="0.78740157480314965" header="0.51181102362204722" footer="0.51181102362204722"/>
  <pageSetup paperSize="9" scale="59" orientation="portrait" r:id="rId1"/>
  <headerFooter alignWithMargins="0">
    <oddHeader>&amp;L&amp;"Arial CE,Obyčejné"&amp;10Mařík, M. a kol.: Metody oceňování podniku pro pokročilé
Ekopress 2023&amp;R&amp;"Arial CE,Obyčejné"&amp;10Příklad: Vzájemná shoda metod DCF a EVA</oddHeader>
    <oddFooter>&amp;C&amp;"Arial CE,Obyčejné"&amp;10&amp;A - str. &amp;P&amp;R&amp;"Arial CE,Obyčejné"&amp;10©  Miloš Mařík, Pavla Maříková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Q11"/>
  <sheetViews>
    <sheetView showGridLines="0" workbookViewId="0"/>
  </sheetViews>
  <sheetFormatPr defaultRowHeight="15.75" x14ac:dyDescent="0.25"/>
  <cols>
    <col min="1" max="1" width="25.625" customWidth="1"/>
    <col min="2" max="17" width="6.625" customWidth="1"/>
  </cols>
  <sheetData>
    <row r="1" spans="1:17" ht="18.75" x14ac:dyDescent="0.3">
      <c r="A1" s="554" t="s">
        <v>401</v>
      </c>
      <c r="G1" s="555" t="s">
        <v>290</v>
      </c>
    </row>
    <row r="2" spans="1:17" ht="20.25" customHeight="1" x14ac:dyDescent="0.25">
      <c r="A2" s="3" t="s">
        <v>161</v>
      </c>
    </row>
    <row r="4" spans="1:17" x14ac:dyDescent="0.25">
      <c r="A4" s="87" t="s">
        <v>162</v>
      </c>
      <c r="B4" s="353">
        <v>7500</v>
      </c>
    </row>
    <row r="5" spans="1:17" x14ac:dyDescent="0.25">
      <c r="A5" s="78" t="s">
        <v>163</v>
      </c>
      <c r="B5" s="354">
        <v>500</v>
      </c>
    </row>
    <row r="7" spans="1:17" x14ac:dyDescent="0.25">
      <c r="A7" s="2" t="s">
        <v>39</v>
      </c>
    </row>
    <row r="8" spans="1:17" ht="16.5" thickBot="1" x14ac:dyDescent="0.3">
      <c r="C8">
        <v>1</v>
      </c>
      <c r="D8">
        <v>2</v>
      </c>
      <c r="E8">
        <v>3</v>
      </c>
      <c r="F8">
        <v>4</v>
      </c>
      <c r="G8">
        <v>5</v>
      </c>
      <c r="H8">
        <v>6</v>
      </c>
      <c r="I8">
        <v>7</v>
      </c>
      <c r="J8">
        <v>8</v>
      </c>
      <c r="K8">
        <v>9</v>
      </c>
      <c r="L8">
        <v>10</v>
      </c>
      <c r="M8">
        <v>11</v>
      </c>
      <c r="N8">
        <v>12</v>
      </c>
      <c r="O8">
        <v>13</v>
      </c>
      <c r="P8">
        <v>14</v>
      </c>
      <c r="Q8">
        <v>15</v>
      </c>
    </row>
    <row r="9" spans="1:17" ht="16.5" thickBot="1" x14ac:dyDescent="0.3">
      <c r="A9" s="237"/>
      <c r="B9" s="356">
        <f>rok-13</f>
        <v>2009</v>
      </c>
      <c r="C9" s="355">
        <f>B9+1</f>
        <v>2010</v>
      </c>
      <c r="D9" s="355">
        <f t="shared" ref="D9:O9" si="0">C9+1</f>
        <v>2011</v>
      </c>
      <c r="E9" s="355">
        <f t="shared" si="0"/>
        <v>2012</v>
      </c>
      <c r="F9" s="355">
        <f t="shared" si="0"/>
        <v>2013</v>
      </c>
      <c r="G9" s="355">
        <f t="shared" si="0"/>
        <v>2014</v>
      </c>
      <c r="H9" s="355">
        <f t="shared" si="0"/>
        <v>2015</v>
      </c>
      <c r="I9" s="355">
        <f t="shared" si="0"/>
        <v>2016</v>
      </c>
      <c r="J9" s="355">
        <f t="shared" si="0"/>
        <v>2017</v>
      </c>
      <c r="K9" s="355">
        <f t="shared" si="0"/>
        <v>2018</v>
      </c>
      <c r="L9" s="355">
        <f t="shared" si="0"/>
        <v>2019</v>
      </c>
      <c r="M9" s="355">
        <f t="shared" si="0"/>
        <v>2020</v>
      </c>
      <c r="N9" s="355">
        <f t="shared" si="0"/>
        <v>2021</v>
      </c>
      <c r="O9" s="361">
        <f t="shared" si="0"/>
        <v>2022</v>
      </c>
      <c r="P9" s="239">
        <f>O9+1</f>
        <v>2023</v>
      </c>
      <c r="Q9" s="241">
        <f>P9+1</f>
        <v>2024</v>
      </c>
    </row>
    <row r="10" spans="1:17" ht="47.25" x14ac:dyDescent="0.25">
      <c r="A10" s="359" t="s">
        <v>164</v>
      </c>
      <c r="B10" s="357">
        <f>B4</f>
        <v>7500</v>
      </c>
      <c r="C10" s="178">
        <f>B10-C11</f>
        <v>7000</v>
      </c>
      <c r="D10" s="178">
        <f t="shared" ref="D10:O10" si="1">C10-D11</f>
        <v>6500</v>
      </c>
      <c r="E10" s="178">
        <f t="shared" si="1"/>
        <v>6000</v>
      </c>
      <c r="F10" s="178">
        <f t="shared" si="1"/>
        <v>5500</v>
      </c>
      <c r="G10" s="178">
        <f t="shared" si="1"/>
        <v>5000</v>
      </c>
      <c r="H10" s="178">
        <f t="shared" si="1"/>
        <v>4500</v>
      </c>
      <c r="I10" s="178">
        <f t="shared" si="1"/>
        <v>4000</v>
      </c>
      <c r="J10" s="178">
        <f t="shared" si="1"/>
        <v>3500</v>
      </c>
      <c r="K10" s="178">
        <f t="shared" si="1"/>
        <v>3000</v>
      </c>
      <c r="L10" s="178">
        <f t="shared" si="1"/>
        <v>2500</v>
      </c>
      <c r="M10" s="178">
        <f t="shared" si="1"/>
        <v>2000</v>
      </c>
      <c r="N10" s="178">
        <f t="shared" si="1"/>
        <v>1500</v>
      </c>
      <c r="O10" s="362">
        <f t="shared" si="1"/>
        <v>1000</v>
      </c>
      <c r="P10" s="364">
        <f>O10-P11</f>
        <v>500</v>
      </c>
      <c r="Q10" s="179">
        <f>P10-Q11</f>
        <v>0</v>
      </c>
    </row>
    <row r="11" spans="1:17" ht="16.5" thickBot="1" x14ac:dyDescent="0.3">
      <c r="A11" s="360" t="s">
        <v>163</v>
      </c>
      <c r="B11" s="358"/>
      <c r="C11" s="180">
        <f>$B$5</f>
        <v>500</v>
      </c>
      <c r="D11" s="180">
        <f t="shared" ref="D11:Q11" si="2">$B$5</f>
        <v>500</v>
      </c>
      <c r="E11" s="180">
        <f t="shared" si="2"/>
        <v>500</v>
      </c>
      <c r="F11" s="180">
        <f t="shared" si="2"/>
        <v>500</v>
      </c>
      <c r="G11" s="180">
        <f t="shared" si="2"/>
        <v>500</v>
      </c>
      <c r="H11" s="180">
        <f t="shared" si="2"/>
        <v>500</v>
      </c>
      <c r="I11" s="180">
        <f t="shared" si="2"/>
        <v>500</v>
      </c>
      <c r="J11" s="180">
        <f t="shared" si="2"/>
        <v>500</v>
      </c>
      <c r="K11" s="180">
        <f t="shared" si="2"/>
        <v>500</v>
      </c>
      <c r="L11" s="180">
        <f t="shared" si="2"/>
        <v>500</v>
      </c>
      <c r="M11" s="180">
        <f t="shared" si="2"/>
        <v>500</v>
      </c>
      <c r="N11" s="180">
        <f t="shared" si="2"/>
        <v>500</v>
      </c>
      <c r="O11" s="363">
        <f t="shared" si="2"/>
        <v>500</v>
      </c>
      <c r="P11" s="365">
        <f t="shared" si="2"/>
        <v>500</v>
      </c>
      <c r="Q11" s="181">
        <f t="shared" si="2"/>
        <v>500</v>
      </c>
    </row>
  </sheetData>
  <phoneticPr fontId="0" type="noConversion"/>
  <hyperlinks>
    <hyperlink ref="G1" location="Obsah!A1" display="Skok na obsah" xr:uid="{00000000-0004-0000-1200-000000000000}"/>
  </hyperlinks>
  <printOptions gridLinesSet="0"/>
  <pageMargins left="0.78740157480314965" right="0.78740157480314965" top="0.98425196850393704" bottom="0.78740157480314965" header="0.51181102362204722" footer="0.51181102362204722"/>
  <pageSetup paperSize="9" scale="60" orientation="portrait" r:id="rId1"/>
  <headerFooter alignWithMargins="0">
    <oddHeader>&amp;L&amp;"Arial CE,Obyčejné"&amp;10Mařík, M. a kol.: Metody oceňování podniku pro pokročilé
Ekopress 2023&amp;R&amp;"Arial CE,Obyčejné"&amp;10Příklad: Vzájemná shoda metod DCF a EVA</oddHeader>
    <oddFooter>&amp;C&amp;"Arial CE,Obyčejné"&amp;10&amp;A - str. &amp;P&amp;R&amp;"Arial CE,Obyčejné"&amp;10©  Miloš Mařík, Pavla Maříková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55"/>
  <sheetViews>
    <sheetView showGridLines="0" workbookViewId="0">
      <selection sqref="A1:C1"/>
    </sheetView>
  </sheetViews>
  <sheetFormatPr defaultRowHeight="15.75" x14ac:dyDescent="0.25"/>
  <cols>
    <col min="1" max="1" width="4.875" customWidth="1"/>
    <col min="2" max="2" width="23.875" customWidth="1"/>
    <col min="3" max="3" width="65.25" customWidth="1"/>
  </cols>
  <sheetData>
    <row r="1" spans="1:9" x14ac:dyDescent="0.25">
      <c r="A1" s="599" t="s">
        <v>209</v>
      </c>
      <c r="B1" s="599"/>
      <c r="C1" s="599"/>
      <c r="D1" s="566"/>
      <c r="E1" s="566"/>
      <c r="F1" s="566"/>
      <c r="G1" s="566"/>
      <c r="H1" s="566"/>
      <c r="I1" s="566"/>
    </row>
    <row r="2" spans="1:9" ht="18" x14ac:dyDescent="0.25">
      <c r="A2" s="600" t="s">
        <v>210</v>
      </c>
      <c r="B2" s="600"/>
      <c r="C2" s="600"/>
      <c r="D2" s="567"/>
      <c r="E2" s="567"/>
      <c r="F2" s="567"/>
      <c r="G2" s="567"/>
      <c r="H2" s="567"/>
      <c r="I2" s="567"/>
    </row>
    <row r="3" spans="1:9" x14ac:dyDescent="0.25">
      <c r="A3" s="597" t="s">
        <v>211</v>
      </c>
      <c r="B3" s="597"/>
      <c r="C3" s="597"/>
      <c r="D3" s="568"/>
      <c r="E3" s="568"/>
      <c r="F3" s="568"/>
      <c r="G3" s="568"/>
      <c r="H3" s="568"/>
      <c r="I3" s="568"/>
    </row>
    <row r="4" spans="1:9" x14ac:dyDescent="0.25">
      <c r="A4" s="596" t="s">
        <v>212</v>
      </c>
      <c r="B4" s="596"/>
      <c r="C4" s="596"/>
      <c r="D4" s="569"/>
      <c r="E4" s="569"/>
      <c r="F4" s="569"/>
      <c r="G4" s="569"/>
      <c r="H4" s="569"/>
      <c r="I4" s="569"/>
    </row>
    <row r="5" spans="1:9" ht="3.75" customHeight="1" x14ac:dyDescent="0.25"/>
    <row r="6" spans="1:9" x14ac:dyDescent="0.25">
      <c r="A6" t="s">
        <v>297</v>
      </c>
    </row>
    <row r="7" spans="1:9" x14ac:dyDescent="0.25">
      <c r="A7" t="s">
        <v>298</v>
      </c>
    </row>
    <row r="8" spans="1:9" x14ac:dyDescent="0.25">
      <c r="A8" t="s">
        <v>299</v>
      </c>
    </row>
    <row r="9" spans="1:9" ht="22.5" customHeight="1" x14ac:dyDescent="0.25">
      <c r="A9" s="106">
        <v>2022</v>
      </c>
      <c r="B9" t="s">
        <v>364</v>
      </c>
    </row>
    <row r="10" spans="1:9" x14ac:dyDescent="0.25">
      <c r="A10" s="556" t="str">
        <f>"Ocenění bude provedeno k 1. 1. "&amp;FIXED(rok+1,0,1)</f>
        <v>Ocenění bude provedeno k 1. 1. 2023</v>
      </c>
    </row>
    <row r="11" spans="1:9" ht="23.25" customHeight="1" x14ac:dyDescent="0.25">
      <c r="A11" s="557" t="s">
        <v>300</v>
      </c>
    </row>
    <row r="12" spans="1:9" x14ac:dyDescent="0.25">
      <c r="A12" s="557" t="s">
        <v>301</v>
      </c>
    </row>
    <row r="13" spans="1:9" x14ac:dyDescent="0.25">
      <c r="A13" s="557" t="s">
        <v>302</v>
      </c>
    </row>
    <row r="14" spans="1:9" ht="23.25" customHeight="1" x14ac:dyDescent="0.25">
      <c r="A14" s="557" t="s">
        <v>311</v>
      </c>
    </row>
    <row r="15" spans="1:9" ht="10.5" customHeight="1" x14ac:dyDescent="0.25"/>
    <row r="16" spans="1:9" x14ac:dyDescent="0.25">
      <c r="A16" s="563" t="s">
        <v>312</v>
      </c>
      <c r="B16" s="564"/>
      <c r="C16" s="565" t="s">
        <v>303</v>
      </c>
    </row>
    <row r="17" spans="1:3" x14ac:dyDescent="0.25">
      <c r="A17" s="560"/>
      <c r="B17" s="562" t="s">
        <v>365</v>
      </c>
      <c r="C17" s="40" t="s">
        <v>366</v>
      </c>
    </row>
    <row r="18" spans="1:3" x14ac:dyDescent="0.25">
      <c r="A18" s="558" t="s">
        <v>313</v>
      </c>
      <c r="B18" s="559"/>
      <c r="C18" s="559"/>
    </row>
    <row r="19" spans="1:3" x14ac:dyDescent="0.25">
      <c r="A19" s="560">
        <v>1</v>
      </c>
      <c r="B19" s="561" t="s">
        <v>304</v>
      </c>
      <c r="C19" s="602" t="s">
        <v>305</v>
      </c>
    </row>
    <row r="20" spans="1:3" x14ac:dyDescent="0.25">
      <c r="A20" s="560">
        <v>1</v>
      </c>
      <c r="B20" s="562" t="s">
        <v>306</v>
      </c>
      <c r="C20" s="602"/>
    </row>
    <row r="21" spans="1:3" x14ac:dyDescent="0.25">
      <c r="A21" s="560">
        <v>1</v>
      </c>
      <c r="B21" s="562" t="s">
        <v>307</v>
      </c>
      <c r="C21" s="602"/>
    </row>
    <row r="22" spans="1:3" x14ac:dyDescent="0.25">
      <c r="A22" s="560">
        <v>1</v>
      </c>
      <c r="B22" s="562" t="s">
        <v>308</v>
      </c>
      <c r="C22" s="602"/>
    </row>
    <row r="23" spans="1:3" x14ac:dyDescent="0.25">
      <c r="A23" s="560">
        <v>1</v>
      </c>
      <c r="B23" s="562" t="s">
        <v>309</v>
      </c>
      <c r="C23" s="40" t="s">
        <v>310</v>
      </c>
    </row>
    <row r="24" spans="1:3" x14ac:dyDescent="0.25">
      <c r="A24" s="560">
        <v>1</v>
      </c>
      <c r="B24" s="562" t="s">
        <v>314</v>
      </c>
      <c r="C24" s="40" t="s">
        <v>317</v>
      </c>
    </row>
    <row r="25" spans="1:3" x14ac:dyDescent="0.25">
      <c r="A25" s="560">
        <v>1</v>
      </c>
      <c r="B25" s="562" t="s">
        <v>315</v>
      </c>
      <c r="C25" s="40" t="s">
        <v>318</v>
      </c>
    </row>
    <row r="26" spans="1:3" x14ac:dyDescent="0.25">
      <c r="A26" s="560">
        <v>1</v>
      </c>
      <c r="B26" s="562" t="s">
        <v>316</v>
      </c>
      <c r="C26" s="40" t="s">
        <v>343</v>
      </c>
    </row>
    <row r="27" spans="1:3" x14ac:dyDescent="0.25">
      <c r="A27" s="558" t="s">
        <v>319</v>
      </c>
      <c r="B27" s="559"/>
      <c r="C27" s="559"/>
    </row>
    <row r="28" spans="1:3" x14ac:dyDescent="0.25">
      <c r="A28" s="560">
        <v>2</v>
      </c>
      <c r="B28" s="562" t="s">
        <v>320</v>
      </c>
      <c r="C28" s="40" t="s">
        <v>325</v>
      </c>
    </row>
    <row r="29" spans="1:3" x14ac:dyDescent="0.25">
      <c r="A29" s="560">
        <v>2</v>
      </c>
      <c r="B29" s="562" t="s">
        <v>321</v>
      </c>
      <c r="C29" s="40" t="s">
        <v>326</v>
      </c>
    </row>
    <row r="30" spans="1:3" x14ac:dyDescent="0.25">
      <c r="A30" s="560">
        <v>2</v>
      </c>
      <c r="B30" s="562" t="s">
        <v>322</v>
      </c>
      <c r="C30" s="40" t="s">
        <v>327</v>
      </c>
    </row>
    <row r="31" spans="1:3" x14ac:dyDescent="0.25">
      <c r="A31" s="560">
        <v>2</v>
      </c>
      <c r="B31" s="562" t="s">
        <v>323</v>
      </c>
      <c r="C31" s="40" t="s">
        <v>317</v>
      </c>
    </row>
    <row r="32" spans="1:3" x14ac:dyDescent="0.25">
      <c r="A32" s="560">
        <v>2</v>
      </c>
      <c r="B32" s="562" t="s">
        <v>324</v>
      </c>
      <c r="C32" s="40" t="s">
        <v>343</v>
      </c>
    </row>
    <row r="33" spans="1:3" x14ac:dyDescent="0.25">
      <c r="A33" s="558" t="s">
        <v>328</v>
      </c>
      <c r="B33" s="559"/>
      <c r="C33" s="559"/>
    </row>
    <row r="34" spans="1:3" x14ac:dyDescent="0.25">
      <c r="A34" s="560">
        <v>3</v>
      </c>
      <c r="B34" s="562" t="s">
        <v>329</v>
      </c>
      <c r="C34" s="40" t="s">
        <v>332</v>
      </c>
    </row>
    <row r="35" spans="1:3" x14ac:dyDescent="0.25">
      <c r="A35" s="560">
        <v>3</v>
      </c>
      <c r="B35" s="562" t="s">
        <v>330</v>
      </c>
      <c r="C35" s="40" t="s">
        <v>317</v>
      </c>
    </row>
    <row r="36" spans="1:3" x14ac:dyDescent="0.25">
      <c r="A36" s="560">
        <v>3</v>
      </c>
      <c r="B36" s="562" t="s">
        <v>331</v>
      </c>
      <c r="C36" s="40" t="s">
        <v>343</v>
      </c>
    </row>
    <row r="37" spans="1:3" x14ac:dyDescent="0.25">
      <c r="A37" s="558" t="s">
        <v>333</v>
      </c>
      <c r="B37" s="559"/>
      <c r="C37" s="559"/>
    </row>
    <row r="38" spans="1:3" x14ac:dyDescent="0.25">
      <c r="A38" s="560">
        <v>4</v>
      </c>
      <c r="B38" s="562" t="s">
        <v>334</v>
      </c>
      <c r="C38" s="40" t="s">
        <v>332</v>
      </c>
    </row>
    <row r="39" spans="1:3" x14ac:dyDescent="0.25">
      <c r="A39" s="560">
        <v>4</v>
      </c>
      <c r="B39" s="562" t="s">
        <v>335</v>
      </c>
      <c r="C39" s="40" t="s">
        <v>338</v>
      </c>
    </row>
    <row r="40" spans="1:3" x14ac:dyDescent="0.25">
      <c r="A40" s="560">
        <v>4</v>
      </c>
      <c r="B40" s="562" t="s">
        <v>336</v>
      </c>
      <c r="C40" s="40" t="s">
        <v>317</v>
      </c>
    </row>
    <row r="41" spans="1:3" x14ac:dyDescent="0.25">
      <c r="A41" s="560">
        <v>4</v>
      </c>
      <c r="B41" s="562" t="s">
        <v>337</v>
      </c>
      <c r="C41" s="40" t="s">
        <v>343</v>
      </c>
    </row>
    <row r="42" spans="1:3" x14ac:dyDescent="0.25">
      <c r="A42" s="558" t="s">
        <v>339</v>
      </c>
      <c r="B42" s="559"/>
      <c r="C42" s="559"/>
    </row>
    <row r="43" spans="1:3" x14ac:dyDescent="0.25">
      <c r="A43" s="560">
        <v>5</v>
      </c>
      <c r="B43" s="562" t="s">
        <v>340</v>
      </c>
      <c r="C43" s="40" t="s">
        <v>342</v>
      </c>
    </row>
    <row r="44" spans="1:3" x14ac:dyDescent="0.25">
      <c r="A44" s="560">
        <v>5</v>
      </c>
      <c r="B44" s="562" t="s">
        <v>341</v>
      </c>
      <c r="C44" s="40" t="s">
        <v>351</v>
      </c>
    </row>
    <row r="45" spans="1:3" x14ac:dyDescent="0.25">
      <c r="A45" s="560">
        <v>5</v>
      </c>
      <c r="B45" s="562" t="s">
        <v>344</v>
      </c>
      <c r="C45" s="40" t="s">
        <v>352</v>
      </c>
    </row>
    <row r="46" spans="1:3" x14ac:dyDescent="0.25">
      <c r="A46" s="560">
        <v>5</v>
      </c>
      <c r="B46" s="562" t="s">
        <v>345</v>
      </c>
      <c r="C46" s="40" t="s">
        <v>348</v>
      </c>
    </row>
    <row r="47" spans="1:3" x14ac:dyDescent="0.25">
      <c r="A47" s="560">
        <v>5</v>
      </c>
      <c r="B47" s="562" t="s">
        <v>346</v>
      </c>
      <c r="C47" s="40" t="s">
        <v>317</v>
      </c>
    </row>
    <row r="48" spans="1:3" x14ac:dyDescent="0.25">
      <c r="A48" s="560">
        <v>5</v>
      </c>
      <c r="B48" s="562" t="s">
        <v>347</v>
      </c>
      <c r="C48" s="40" t="s">
        <v>349</v>
      </c>
    </row>
    <row r="49" spans="1:3" x14ac:dyDescent="0.25">
      <c r="A49" s="560">
        <v>5</v>
      </c>
      <c r="B49" s="562" t="s">
        <v>350</v>
      </c>
      <c r="C49" s="40" t="s">
        <v>353</v>
      </c>
    </row>
    <row r="50" spans="1:3" x14ac:dyDescent="0.25">
      <c r="A50" s="558" t="s">
        <v>355</v>
      </c>
      <c r="B50" s="559"/>
      <c r="C50" s="559"/>
    </row>
    <row r="51" spans="1:3" x14ac:dyDescent="0.25">
      <c r="A51" s="560">
        <v>6</v>
      </c>
      <c r="B51" s="562" t="s">
        <v>354</v>
      </c>
      <c r="C51" s="40" t="s">
        <v>363</v>
      </c>
    </row>
    <row r="52" spans="1:3" x14ac:dyDescent="0.25">
      <c r="A52" s="558" t="s">
        <v>356</v>
      </c>
      <c r="B52" s="559"/>
      <c r="C52" s="559"/>
    </row>
    <row r="53" spans="1:3" x14ac:dyDescent="0.25">
      <c r="A53" s="560">
        <v>7</v>
      </c>
      <c r="B53" s="562" t="s">
        <v>357</v>
      </c>
      <c r="C53" s="40" t="s">
        <v>360</v>
      </c>
    </row>
    <row r="54" spans="1:3" x14ac:dyDescent="0.25">
      <c r="A54" s="560">
        <v>7</v>
      </c>
      <c r="B54" s="562" t="s">
        <v>358</v>
      </c>
      <c r="C54" s="40" t="s">
        <v>361</v>
      </c>
    </row>
    <row r="55" spans="1:3" x14ac:dyDescent="0.25">
      <c r="A55" s="560">
        <v>7</v>
      </c>
      <c r="B55" s="562" t="s">
        <v>359</v>
      </c>
      <c r="C55" s="40" t="s">
        <v>362</v>
      </c>
    </row>
  </sheetData>
  <mergeCells count="5">
    <mergeCell ref="C19:C22"/>
    <mergeCell ref="A1:C1"/>
    <mergeCell ref="A2:C2"/>
    <mergeCell ref="A3:C3"/>
    <mergeCell ref="A4:C4"/>
  </mergeCells>
  <phoneticPr fontId="0" type="noConversion"/>
  <hyperlinks>
    <hyperlink ref="B19" location="'1 Aktiva'!A1" display="Aktiva" xr:uid="{00000000-0004-0000-0100-000000000000}"/>
    <hyperlink ref="B20" location="'1 Pasiva'!A1" display="Pasiva" xr:uid="{00000000-0004-0000-0100-000001000000}"/>
    <hyperlink ref="B21" location="'1 Výsledovka'!A1" display="Výsledovka" xr:uid="{00000000-0004-0000-0100-000002000000}"/>
    <hyperlink ref="B22" location="'1 Cash flow'!A1" display="Cash flow" xr:uid="{00000000-0004-0000-0100-000003000000}"/>
    <hyperlink ref="B23" location="'1 Informace'!A1" display="Informace" xr:uid="{00000000-0004-0000-0100-000004000000}"/>
    <hyperlink ref="B24" location="'1 Společné úpravy - NOA'!A1" display="Společné úpravy - NOA" xr:uid="{00000000-0004-0000-0100-000005000000}"/>
    <hyperlink ref="B25" location="'1 Společné úpravy - WACC'!A1" display="Společné úpravy - WACC" xr:uid="{00000000-0004-0000-0100-000006000000}"/>
    <hyperlink ref="B26" location="'1 Společné úpravy - Hodnota'!A1" display="Společné úpravy - Hodnota" xr:uid="{00000000-0004-0000-0100-000007000000}"/>
    <hyperlink ref="B28" location="'2 Rezervy - Pasiva'!A1" display="Rezervy - Pasiva" xr:uid="{00000000-0004-0000-0100-000008000000}"/>
    <hyperlink ref="B29" location="'2 Rezervy - Výsledovka'!A1" display="Rezervy - Výsledovka" xr:uid="{00000000-0004-0000-0100-000009000000}"/>
    <hyperlink ref="B30" location="'2 Rezervy - Cash flow'!A1" display="Rezervy - Cash flow" xr:uid="{00000000-0004-0000-0100-00000A000000}"/>
    <hyperlink ref="B31" location="'2 Rezervy - NOA'!A1" display="Rezervy - NOA" xr:uid="{00000000-0004-0000-0100-00000B000000}"/>
    <hyperlink ref="B32" location="'2 Rezervy - Hodnota'!A1" display="Rezervy - Hodnota" xr:uid="{00000000-0004-0000-0100-00000C000000}"/>
    <hyperlink ref="B34" location="'3 Marketing - příprava'!A1" display="Marketing - příprava" xr:uid="{00000000-0004-0000-0100-00000D000000}"/>
    <hyperlink ref="B35" location="'3 Marketing - NOA'!A1" display="Marketing - NOA" xr:uid="{00000000-0004-0000-0100-00000E000000}"/>
    <hyperlink ref="B36" location="'3 Marketing - Hodnota'!A1" display="Marketing - Hodnota" xr:uid="{00000000-0004-0000-0100-00000F000000}"/>
    <hyperlink ref="B38" location="'4 Goodwill - příprava'!A1" display="Goodwill - příprava" xr:uid="{00000000-0004-0000-0100-000010000000}"/>
    <hyperlink ref="B40" location="'4 Goodwill - NOA'!A1" display="Goodwill - NOA" xr:uid="{00000000-0004-0000-0100-000011000000}"/>
    <hyperlink ref="B41" location="'4 Goodwill - Hodnota'!A1" display="Goodwill - Hodnota" xr:uid="{00000000-0004-0000-0100-000012000000}"/>
    <hyperlink ref="B39" location="'4 Goodwill - Aktiva'!A1" display="Goodwill - Aktiva" xr:uid="{00000000-0004-0000-0100-000013000000}"/>
    <hyperlink ref="B43" location="'5 Leasing - WACC před leas. '!A1" display="Leasing - WACC před leas." xr:uid="{00000000-0004-0000-0100-000014000000}"/>
    <hyperlink ref="B44" location="'5 Leasing - Hodnota před leas.'!A1" display="Leasing - Hodnota před leas." xr:uid="{00000000-0004-0000-0100-000015000000}"/>
    <hyperlink ref="B45" location="'5 Leasing - H equity před leas.'!A1" display="Leasing - H equity před leas." xr:uid="{00000000-0004-0000-0100-000016000000}"/>
    <hyperlink ref="B46" location="'5 Leasing - příprava'!A1" display="Leasing - příprava" xr:uid="{00000000-0004-0000-0100-000017000000}"/>
    <hyperlink ref="B47" location="'5 Leasing - NOA'!A1" display="Leasing - NOA" xr:uid="{00000000-0004-0000-0100-000018000000}"/>
    <hyperlink ref="B48" location="'5 Leasing - WACC'!A1" display="Leasing - WACC" xr:uid="{00000000-0004-0000-0100-000019000000}"/>
    <hyperlink ref="B49" location="'5 Leasing - Hodnota entity'!A1" display="Leasing - Hodnota entity" xr:uid="{00000000-0004-0000-0100-00001A000000}"/>
    <hyperlink ref="B51" location="'6 Hodnota equity a APV'!A1" display="Hodnota equity a APV" xr:uid="{00000000-0004-0000-0100-00001B000000}"/>
    <hyperlink ref="B53" location="'7 Růst - WACC '!A1" display="Růst - WACC" xr:uid="{00000000-0004-0000-0100-00001C000000}"/>
    <hyperlink ref="B54" location="'7 Růst - Hodnota entity'!A1" display="Růst - Hodnota entity" xr:uid="{00000000-0004-0000-0100-00001D000000}"/>
    <hyperlink ref="B55" location="'7 Růst - Hodnota equity a APV'!A1" display="Růst - Hodnota equity a APV" xr:uid="{00000000-0004-0000-0100-00001E000000}"/>
    <hyperlink ref="B17" location="Úvod!A1" display="Úvod" xr:uid="{00000000-0004-0000-0100-00001F000000}"/>
  </hyperlinks>
  <printOptions gridLinesSet="0"/>
  <pageMargins left="0.78740157480314965" right="0.78740157480314965" top="0.98425196850393704" bottom="0.78740157480314965" header="0.51181102362204722" footer="0.51181102362204722"/>
  <pageSetup paperSize="9" scale="77" orientation="portrait" r:id="rId1"/>
  <headerFooter alignWithMargins="0">
    <oddHeader>&amp;L&amp;"Arial CE,Obyčejné"&amp;10Mařík, M. a kol.: Metody oceňování podniku pro pokročilé
Ekopress 2023&amp;R&amp;"Arial CE,Obyčejné"&amp;10Příklad: Vzájemná shoda metod DCF a EVA</oddHeader>
    <oddFooter>&amp;C&amp;"Arial CE,Obyčejné"&amp;10&amp;A - str. &amp;P&amp;R&amp;"Arial CE,Obyčejné"&amp;10©  Miloš Mařík, Pavla Maříková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F25"/>
  <sheetViews>
    <sheetView showGridLines="0" workbookViewId="0"/>
  </sheetViews>
  <sheetFormatPr defaultRowHeight="15.75" x14ac:dyDescent="0.25"/>
  <cols>
    <col min="1" max="1" width="35.625" customWidth="1"/>
  </cols>
  <sheetData>
    <row r="1" spans="1:6" ht="18.75" x14ac:dyDescent="0.3">
      <c r="A1" s="554" t="s">
        <v>401</v>
      </c>
      <c r="E1" s="555" t="s">
        <v>290</v>
      </c>
    </row>
    <row r="2" spans="1:6" ht="20.25" customHeight="1" thickBot="1" x14ac:dyDescent="0.3">
      <c r="A2" s="10" t="s">
        <v>136</v>
      </c>
      <c r="B2" s="4"/>
      <c r="C2" s="4"/>
      <c r="D2" s="4"/>
    </row>
    <row r="3" spans="1:6" ht="16.5" thickBot="1" x14ac:dyDescent="0.3">
      <c r="A3" s="237" t="s">
        <v>5</v>
      </c>
      <c r="B3" s="238">
        <f>rok</f>
        <v>2022</v>
      </c>
      <c r="C3" s="239">
        <f>B3+1</f>
        <v>2023</v>
      </c>
      <c r="D3" s="240">
        <f>C3+1</f>
        <v>2024</v>
      </c>
      <c r="E3" s="241">
        <f>D3+1</f>
        <v>2025</v>
      </c>
    </row>
    <row r="4" spans="1:6" ht="16.5" thickBot="1" x14ac:dyDescent="0.3">
      <c r="A4" s="15" t="s">
        <v>6</v>
      </c>
      <c r="B4" s="96">
        <f>(B13+B5)</f>
        <v>130634.6035</v>
      </c>
      <c r="C4" s="29">
        <f>(C13+C5)</f>
        <v>156392.62299999999</v>
      </c>
      <c r="D4" s="29">
        <f>(D13+D5)</f>
        <v>175289.94949999999</v>
      </c>
      <c r="E4" s="30">
        <f>(E13+E5)</f>
        <v>195644.38150000002</v>
      </c>
    </row>
    <row r="5" spans="1:6" x14ac:dyDescent="0.25">
      <c r="A5" s="11" t="s">
        <v>367</v>
      </c>
      <c r="B5" s="90">
        <f>B7+B6+B11</f>
        <v>65394</v>
      </c>
      <c r="C5" s="17">
        <f>C7+C6+C11</f>
        <v>66043</v>
      </c>
      <c r="D5" s="17">
        <f>D7+D6+D11</f>
        <v>67043</v>
      </c>
      <c r="E5" s="18">
        <f>E7+E6+E11</f>
        <v>67043</v>
      </c>
    </row>
    <row r="6" spans="1:6" x14ac:dyDescent="0.25">
      <c r="A6" s="346" t="s">
        <v>207</v>
      </c>
      <c r="B6" s="347">
        <f>'4 Goodwill - příprava'!O10</f>
        <v>1000</v>
      </c>
      <c r="C6" s="348">
        <f>'4 Goodwill - příprava'!P10</f>
        <v>500</v>
      </c>
      <c r="D6" s="348">
        <v>0</v>
      </c>
      <c r="E6" s="349">
        <v>0</v>
      </c>
    </row>
    <row r="7" spans="1:6" x14ac:dyDescent="0.25">
      <c r="A7" s="5" t="s">
        <v>7</v>
      </c>
      <c r="B7" s="91">
        <f>SUM(B8:B10)</f>
        <v>53394</v>
      </c>
      <c r="C7" s="19">
        <f>SUM(C8:C10)</f>
        <v>54543</v>
      </c>
      <c r="D7" s="19">
        <f>SUM(D8:D10)</f>
        <v>56043</v>
      </c>
      <c r="E7" s="20">
        <f>SUM(E8:E10)</f>
        <v>56043</v>
      </c>
    </row>
    <row r="8" spans="1:6" x14ac:dyDescent="0.25">
      <c r="A8" s="6" t="s">
        <v>368</v>
      </c>
      <c r="B8" s="92">
        <f>'1 Aktiva'!B7</f>
        <v>4394</v>
      </c>
      <c r="C8" s="21">
        <f>'1 Aktiva'!C7</f>
        <v>8043</v>
      </c>
      <c r="D8" s="21">
        <f>'1 Aktiva'!D7</f>
        <v>8043</v>
      </c>
      <c r="E8" s="22">
        <f>'1 Aktiva'!E7</f>
        <v>8043</v>
      </c>
      <c r="F8" s="108"/>
    </row>
    <row r="9" spans="1:6" x14ac:dyDescent="0.25">
      <c r="A9" s="6" t="s">
        <v>369</v>
      </c>
      <c r="B9" s="92">
        <f>'1 Aktiva'!B8</f>
        <v>30000</v>
      </c>
      <c r="C9" s="21">
        <f>'1 Aktiva'!C8</f>
        <v>29000</v>
      </c>
      <c r="D9" s="21">
        <f>'1 Aktiva'!D8</f>
        <v>28000</v>
      </c>
      <c r="E9" s="22">
        <f>'1 Aktiva'!E8</f>
        <v>27000</v>
      </c>
    </row>
    <row r="10" spans="1:6" x14ac:dyDescent="0.25">
      <c r="A10" s="12" t="s">
        <v>370</v>
      </c>
      <c r="B10" s="350">
        <f>'1 Aktiva'!B9-B6</f>
        <v>19000</v>
      </c>
      <c r="C10" s="351">
        <f>'1 Aktiva'!C9-C6</f>
        <v>17500</v>
      </c>
      <c r="D10" s="351">
        <f>'1 Aktiva'!D9-D6</f>
        <v>20000</v>
      </c>
      <c r="E10" s="352">
        <f>'1 Aktiva'!E9-E6</f>
        <v>21000</v>
      </c>
    </row>
    <row r="11" spans="1:6" x14ac:dyDescent="0.25">
      <c r="A11" s="5" t="s">
        <v>8</v>
      </c>
      <c r="B11" s="91">
        <f>B12</f>
        <v>11000</v>
      </c>
      <c r="C11" s="19">
        <f>C12</f>
        <v>11000</v>
      </c>
      <c r="D11" s="19">
        <f>D12</f>
        <v>11000</v>
      </c>
      <c r="E11" s="20">
        <f>E12</f>
        <v>11000</v>
      </c>
    </row>
    <row r="12" spans="1:6" ht="16.5" thickBot="1" x14ac:dyDescent="0.3">
      <c r="A12" s="6" t="s">
        <v>393</v>
      </c>
      <c r="B12" s="92">
        <f>'1 Aktiva'!B11</f>
        <v>11000</v>
      </c>
      <c r="C12" s="21">
        <f>'1 Aktiva'!C11</f>
        <v>11000</v>
      </c>
      <c r="D12" s="21">
        <f>'1 Aktiva'!D11</f>
        <v>11000</v>
      </c>
      <c r="E12" s="22">
        <f>'1 Aktiva'!E11</f>
        <v>11000</v>
      </c>
    </row>
    <row r="13" spans="1:6" x14ac:dyDescent="0.25">
      <c r="A13" s="13" t="s">
        <v>9</v>
      </c>
      <c r="B13" s="94">
        <f>B14+B18+B21+B22</f>
        <v>65240.603499999997</v>
      </c>
      <c r="C13" s="25">
        <f>C14+C18+C21+C22</f>
        <v>90349.622999999992</v>
      </c>
      <c r="D13" s="25">
        <f>D14+D18+D21+D22</f>
        <v>108246.9495</v>
      </c>
      <c r="E13" s="26">
        <f>E14+E18+E21+E22</f>
        <v>128601.3815</v>
      </c>
    </row>
    <row r="14" spans="1:6" x14ac:dyDescent="0.25">
      <c r="A14" s="5" t="s">
        <v>10</v>
      </c>
      <c r="B14" s="91">
        <f>SUM(B15:B17)</f>
        <v>12391</v>
      </c>
      <c r="C14" s="19">
        <f>SUM(C15:C17)</f>
        <v>19732</v>
      </c>
      <c r="D14" s="19">
        <f>SUM(D15:D17)</f>
        <v>23527</v>
      </c>
      <c r="E14" s="20">
        <f>SUM(E15:E17)</f>
        <v>25755</v>
      </c>
    </row>
    <row r="15" spans="1:6" x14ac:dyDescent="0.25">
      <c r="A15" s="6" t="s">
        <v>375</v>
      </c>
      <c r="B15" s="92">
        <f>'1 Aktiva'!B14</f>
        <v>4956</v>
      </c>
      <c r="C15" s="21">
        <f>'1 Aktiva'!C14</f>
        <v>7893</v>
      </c>
      <c r="D15" s="21">
        <f>'1 Aktiva'!D14</f>
        <v>9411</v>
      </c>
      <c r="E15" s="22">
        <f>'1 Aktiva'!E14</f>
        <v>9962</v>
      </c>
    </row>
    <row r="16" spans="1:6" x14ac:dyDescent="0.25">
      <c r="A16" s="6" t="s">
        <v>376</v>
      </c>
      <c r="B16" s="92">
        <f>'1 Aktiva'!B15</f>
        <v>6196</v>
      </c>
      <c r="C16" s="21">
        <f>'1 Aktiva'!C15</f>
        <v>9866</v>
      </c>
      <c r="D16" s="21">
        <f>'1 Aktiva'!D15</f>
        <v>11764</v>
      </c>
      <c r="E16" s="22">
        <f>'1 Aktiva'!E15</f>
        <v>13120</v>
      </c>
    </row>
    <row r="17" spans="1:5" x14ac:dyDescent="0.25">
      <c r="A17" s="12" t="s">
        <v>371</v>
      </c>
      <c r="B17" s="93">
        <f>'1 Aktiva'!B16</f>
        <v>1239</v>
      </c>
      <c r="C17" s="23">
        <f>'1 Aktiva'!C16</f>
        <v>1973</v>
      </c>
      <c r="D17" s="23">
        <f>'1 Aktiva'!D16</f>
        <v>2352</v>
      </c>
      <c r="E17" s="24">
        <f>'1 Aktiva'!E16</f>
        <v>2673</v>
      </c>
    </row>
    <row r="18" spans="1:5" x14ac:dyDescent="0.25">
      <c r="A18" s="5" t="s">
        <v>372</v>
      </c>
      <c r="B18" s="91">
        <f>B19+B20</f>
        <v>21361</v>
      </c>
      <c r="C18" s="19">
        <f>C19+C20</f>
        <v>26461</v>
      </c>
      <c r="D18" s="19">
        <f>D19+D20</f>
        <v>31568</v>
      </c>
      <c r="E18" s="20">
        <f>E19+E20</f>
        <v>33528</v>
      </c>
    </row>
    <row r="19" spans="1:5" x14ac:dyDescent="0.25">
      <c r="A19" s="6" t="s">
        <v>373</v>
      </c>
      <c r="B19" s="92">
        <f>'1 Aktiva'!B18</f>
        <v>20293</v>
      </c>
      <c r="C19" s="21">
        <f>'1 Aktiva'!C18</f>
        <v>25138</v>
      </c>
      <c r="D19" s="21">
        <f>'1 Aktiva'!D18</f>
        <v>29990</v>
      </c>
      <c r="E19" s="22">
        <f>'1 Aktiva'!E18</f>
        <v>31828</v>
      </c>
    </row>
    <row r="20" spans="1:5" x14ac:dyDescent="0.25">
      <c r="A20" s="12" t="s">
        <v>374</v>
      </c>
      <c r="B20" s="93">
        <f>'1 Aktiva'!B19</f>
        <v>1068</v>
      </c>
      <c r="C20" s="23">
        <f>'1 Aktiva'!C19</f>
        <v>1323</v>
      </c>
      <c r="D20" s="23">
        <f>'1 Aktiva'!D19</f>
        <v>1578</v>
      </c>
      <c r="E20" s="24">
        <f>'1 Aktiva'!E19</f>
        <v>1700</v>
      </c>
    </row>
    <row r="21" spans="1:5" x14ac:dyDescent="0.25">
      <c r="A21" s="570" t="s">
        <v>377</v>
      </c>
      <c r="B21" s="571">
        <f>'1 Aktiva'!B20</f>
        <v>5000</v>
      </c>
      <c r="C21" s="572">
        <f>'1 Aktiva'!C20</f>
        <v>5000</v>
      </c>
      <c r="D21" s="572">
        <f>'1 Aktiva'!D20</f>
        <v>5000</v>
      </c>
      <c r="E21" s="573">
        <f>'1 Aktiva'!E20</f>
        <v>5000</v>
      </c>
    </row>
    <row r="22" spans="1:5" ht="16.5" thickBot="1" x14ac:dyDescent="0.3">
      <c r="A22" s="16" t="s">
        <v>378</v>
      </c>
      <c r="B22" s="98">
        <f>'1 Aktiva'!B21</f>
        <v>26488.603499999997</v>
      </c>
      <c r="C22" s="33">
        <f>'1 Aktiva'!C21</f>
        <v>39156.623</v>
      </c>
      <c r="D22" s="33">
        <f>'1 Aktiva'!D21</f>
        <v>48151.949500000002</v>
      </c>
      <c r="E22" s="34">
        <f>'1 Aktiva'!E21</f>
        <v>64318.381500000003</v>
      </c>
    </row>
    <row r="25" spans="1:5" x14ac:dyDescent="0.25">
      <c r="C25" s="108"/>
      <c r="D25" s="108"/>
    </row>
  </sheetData>
  <phoneticPr fontId="0" type="noConversion"/>
  <hyperlinks>
    <hyperlink ref="E1" location="Obsah!A1" display="Skok na obsah" xr:uid="{00000000-0004-0000-1300-000000000000}"/>
  </hyperlinks>
  <printOptions gridLinesSet="0"/>
  <pageMargins left="0.78740157480314965" right="0.78740157480314965" top="0.98425196850393704" bottom="0.78740157480314965" header="0.51181102362204722" footer="0.51181102362204722"/>
  <pageSetup paperSize="9" orientation="portrait" r:id="rId1"/>
  <headerFooter alignWithMargins="0">
    <oddHeader>&amp;L&amp;"Arial CE,Obyčejné"&amp;10Mařík, M. a kol.: Metody oceňování podniku pro pokročilé
Ekopress 2023&amp;R&amp;"Arial CE,Obyčejné"&amp;10Příklad: Vzájemná shoda metod DCF a EVA</oddHeader>
    <oddFooter>&amp;C&amp;"Arial CE,Obyčejné"&amp;10&amp;A - str. &amp;P&amp;R&amp;"Arial CE,Obyčejné"&amp;10©  Miloš Mařík, Pavla Maříková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K23"/>
  <sheetViews>
    <sheetView showGridLines="0" workbookViewId="0"/>
  </sheetViews>
  <sheetFormatPr defaultRowHeight="15.75" x14ac:dyDescent="0.25"/>
  <cols>
    <col min="1" max="1" width="10.125" customWidth="1"/>
    <col min="2" max="5" width="7.25" customWidth="1"/>
    <col min="6" max="6" width="16.625" customWidth="1"/>
    <col min="7" max="10" width="7.125" customWidth="1"/>
    <col min="11" max="11" width="0.75" customWidth="1"/>
  </cols>
  <sheetData>
    <row r="1" spans="1:11" ht="18.75" x14ac:dyDescent="0.3">
      <c r="A1" s="554" t="s">
        <v>401</v>
      </c>
      <c r="J1" s="555" t="s">
        <v>290</v>
      </c>
    </row>
    <row r="2" spans="1:11" ht="20.25" customHeight="1" x14ac:dyDescent="0.25">
      <c r="A2" s="3" t="s">
        <v>238</v>
      </c>
    </row>
    <row r="4" spans="1:11" ht="16.5" thickBot="1" x14ac:dyDescent="0.3">
      <c r="A4" s="2" t="s">
        <v>148</v>
      </c>
    </row>
    <row r="5" spans="1:11" ht="16.5" thickBot="1" x14ac:dyDescent="0.3">
      <c r="A5" s="318" t="s">
        <v>5</v>
      </c>
      <c r="B5" s="238">
        <f>'1 Aktiva'!B3</f>
        <v>2022</v>
      </c>
      <c r="C5" s="266">
        <f>'1 Aktiva'!C3</f>
        <v>2023</v>
      </c>
      <c r="D5" s="240">
        <f>'1 Aktiva'!D3</f>
        <v>2024</v>
      </c>
      <c r="E5" s="241">
        <f>'1 Aktiva'!E3</f>
        <v>2025</v>
      </c>
      <c r="F5" s="237" t="s">
        <v>11</v>
      </c>
      <c r="G5" s="238">
        <f>B5</f>
        <v>2022</v>
      </c>
      <c r="H5" s="266">
        <f>C5</f>
        <v>2023</v>
      </c>
      <c r="I5" s="240">
        <f>D5</f>
        <v>2024</v>
      </c>
      <c r="J5" s="241">
        <f>E5</f>
        <v>2025</v>
      </c>
      <c r="K5" s="63"/>
    </row>
    <row r="6" spans="1:11" ht="31.5" x14ac:dyDescent="0.25">
      <c r="A6" s="542" t="s">
        <v>149</v>
      </c>
      <c r="B6" s="442">
        <f>'4 Goodwill - Aktiva'!B5</f>
        <v>65394</v>
      </c>
      <c r="C6" s="439">
        <f>'4 Goodwill - Aktiva'!C5</f>
        <v>66043</v>
      </c>
      <c r="D6" s="182">
        <f>'4 Goodwill - Aktiva'!D5</f>
        <v>67043</v>
      </c>
      <c r="E6" s="183">
        <f>'4 Goodwill - Aktiva'!E5</f>
        <v>67043</v>
      </c>
      <c r="F6" s="545" t="s">
        <v>53</v>
      </c>
      <c r="G6" s="449">
        <f>'2 Rezervy - Pasiva'!B5</f>
        <v>63429.603499999997</v>
      </c>
      <c r="H6" s="446">
        <f>'2 Rezervy - Pasiva'!C5</f>
        <v>76899.622999999992</v>
      </c>
      <c r="I6" s="190">
        <f>'2 Rezervy - Pasiva'!D5</f>
        <v>90365.949499999988</v>
      </c>
      <c r="J6" s="191">
        <f>'2 Rezervy - Pasiva'!E5</f>
        <v>108100.3815</v>
      </c>
      <c r="K6" s="63"/>
    </row>
    <row r="7" spans="1:11" x14ac:dyDescent="0.25">
      <c r="A7" s="443"/>
      <c r="B7" s="443"/>
      <c r="C7" s="184"/>
      <c r="D7" s="184"/>
      <c r="E7" s="185"/>
      <c r="F7" s="546" t="s">
        <v>54</v>
      </c>
      <c r="G7" s="445">
        <f>'2 Rezervy - Pasiva'!B12</f>
        <v>900</v>
      </c>
      <c r="H7" s="441">
        <f>'2 Rezervy - Pasiva'!C12</f>
        <v>1000</v>
      </c>
      <c r="I7" s="186">
        <f>'2 Rezervy - Pasiva'!D12</f>
        <v>500</v>
      </c>
      <c r="J7" s="192">
        <f>'2 Rezervy - Pasiva'!E12</f>
        <v>500</v>
      </c>
      <c r="K7" s="63"/>
    </row>
    <row r="8" spans="1:11" ht="47.25" x14ac:dyDescent="0.25">
      <c r="A8" s="543" t="s">
        <v>166</v>
      </c>
      <c r="B8" s="444">
        <f>SUM('4 Goodwill - příprava'!$C$11:O11)</f>
        <v>6500</v>
      </c>
      <c r="C8" s="440">
        <f>SUM('4 Goodwill - příprava'!$C$11:P11)</f>
        <v>7000</v>
      </c>
      <c r="D8" s="366">
        <f>SUM('4 Goodwill - příprava'!$C$11:Q11)</f>
        <v>7500</v>
      </c>
      <c r="E8" s="367">
        <f>SUM('4 Goodwill - příprava'!$C$11:R11)</f>
        <v>7500</v>
      </c>
      <c r="F8" s="547" t="s">
        <v>167</v>
      </c>
      <c r="G8" s="444">
        <f t="shared" ref="G8:J9" si="0">B8</f>
        <v>6500</v>
      </c>
      <c r="H8" s="440">
        <f t="shared" si="0"/>
        <v>7000</v>
      </c>
      <c r="I8" s="366">
        <f t="shared" si="0"/>
        <v>7500</v>
      </c>
      <c r="J8" s="367">
        <f t="shared" si="0"/>
        <v>7500</v>
      </c>
      <c r="K8" s="63"/>
    </row>
    <row r="9" spans="1:11" ht="48" thickBot="1" x14ac:dyDescent="0.3">
      <c r="A9" s="544" t="s">
        <v>159</v>
      </c>
      <c r="B9" s="445">
        <f>'3 Marketing - příprava'!B17</f>
        <v>1660</v>
      </c>
      <c r="C9" s="441">
        <f>'3 Marketing - příprava'!C17</f>
        <v>3230</v>
      </c>
      <c r="D9" s="186">
        <f>'3 Marketing - příprava'!D17</f>
        <v>1200</v>
      </c>
      <c r="E9" s="186">
        <f>'3 Marketing - příprava'!E17</f>
        <v>0</v>
      </c>
      <c r="F9" s="548" t="s">
        <v>165</v>
      </c>
      <c r="G9" s="450">
        <f t="shared" si="0"/>
        <v>1660</v>
      </c>
      <c r="H9" s="447">
        <f t="shared" si="0"/>
        <v>3230</v>
      </c>
      <c r="I9" s="193">
        <f t="shared" si="0"/>
        <v>1200</v>
      </c>
      <c r="J9" s="194">
        <f t="shared" si="0"/>
        <v>0</v>
      </c>
      <c r="K9" s="63"/>
    </row>
    <row r="10" spans="1:11" ht="32.25" thickBot="1" x14ac:dyDescent="0.3">
      <c r="A10" s="542" t="s">
        <v>55</v>
      </c>
      <c r="B10" s="442">
        <f>'1 Aktiva'!B12-'1 Pasiva'!B15</f>
        <v>35708.603499999997</v>
      </c>
      <c r="C10" s="439">
        <f>'1 Aktiva'!C12-'1 Pasiva'!C15</f>
        <v>53163.622999999992</v>
      </c>
      <c r="D10" s="182">
        <f>'1 Aktiva'!D12-'1 Pasiva'!D15</f>
        <v>67618.949500000002</v>
      </c>
      <c r="E10" s="182">
        <f>'1 Aktiva'!E12-'1 Pasiva'!E15</f>
        <v>85353.381500000003</v>
      </c>
      <c r="F10" s="549" t="s">
        <v>56</v>
      </c>
      <c r="G10" s="451">
        <f>'1 Pasiva'!B13+'1 Pasiva'!B14</f>
        <v>36773</v>
      </c>
      <c r="H10" s="448">
        <f>'1 Pasiva'!C13+'1 Pasiva'!C14</f>
        <v>41307</v>
      </c>
      <c r="I10" s="187">
        <f>'1 Pasiva'!D13+'1 Pasiva'!D14</f>
        <v>43796</v>
      </c>
      <c r="J10" s="187">
        <f>'1 Pasiva'!E13+'1 Pasiva'!E14</f>
        <v>43796</v>
      </c>
      <c r="K10" s="63"/>
    </row>
    <row r="11" spans="1:11" ht="16.5" thickBot="1" x14ac:dyDescent="0.3">
      <c r="A11" s="277" t="s">
        <v>57</v>
      </c>
      <c r="B11" s="278">
        <f>SUM(B6:B10)</f>
        <v>109262.6035</v>
      </c>
      <c r="C11" s="279">
        <f>SUM(C6:C10)</f>
        <v>129436.62299999999</v>
      </c>
      <c r="D11" s="85">
        <f>SUM(D6:D10)</f>
        <v>143361.94949999999</v>
      </c>
      <c r="E11" s="85">
        <f>SUM(E6:E10)</f>
        <v>159896.38150000002</v>
      </c>
      <c r="F11" s="277" t="s">
        <v>57</v>
      </c>
      <c r="G11" s="278">
        <f>SUM(G6:G10)</f>
        <v>109262.6035</v>
      </c>
      <c r="H11" s="279">
        <f>SUM(H6:H10)</f>
        <v>129436.62299999999</v>
      </c>
      <c r="I11" s="85">
        <f>SUM(I6:I10)</f>
        <v>143361.94949999999</v>
      </c>
      <c r="J11" s="85">
        <f>SUM(J6:J10)</f>
        <v>159896.38150000002</v>
      </c>
      <c r="K11" s="63"/>
    </row>
    <row r="12" spans="1:11" x14ac:dyDescent="0.25">
      <c r="A12" s="144"/>
      <c r="B12" s="145"/>
      <c r="C12" s="145"/>
      <c r="D12" s="145"/>
      <c r="E12" s="145"/>
      <c r="F12" s="142"/>
      <c r="G12" s="143"/>
      <c r="H12" s="143"/>
      <c r="I12" s="143"/>
      <c r="J12" s="143"/>
    </row>
    <row r="13" spans="1:11" ht="16.5" thickBot="1" x14ac:dyDescent="0.3">
      <c r="A13" s="2" t="s">
        <v>243</v>
      </c>
    </row>
    <row r="14" spans="1:11" ht="16.5" thickBot="1" x14ac:dyDescent="0.3">
      <c r="A14" s="264"/>
      <c r="B14" s="280"/>
      <c r="C14" s="280"/>
      <c r="D14" s="280"/>
      <c r="E14" s="280"/>
      <c r="F14" s="281"/>
      <c r="G14" s="238">
        <f>B5</f>
        <v>2022</v>
      </c>
      <c r="H14" s="239">
        <f>C5</f>
        <v>2023</v>
      </c>
      <c r="I14" s="240">
        <f>D5</f>
        <v>2024</v>
      </c>
      <c r="J14" s="241">
        <f>E5</f>
        <v>2025</v>
      </c>
      <c r="K14" s="63"/>
    </row>
    <row r="15" spans="1:11" x14ac:dyDescent="0.25">
      <c r="A15" s="66" t="s">
        <v>102</v>
      </c>
      <c r="B15" s="67"/>
      <c r="C15" s="67"/>
      <c r="D15" s="67"/>
      <c r="E15" s="67"/>
      <c r="F15" s="68"/>
      <c r="G15" s="282">
        <f>'1 Informace'!$D$15*'1 Pasiva'!B15</f>
        <v>8859.6</v>
      </c>
      <c r="H15" s="69">
        <f>'1 Informace'!$D$15*'1 Pasiva'!C15</f>
        <v>11155.8</v>
      </c>
      <c r="I15" s="69">
        <f>'1 Informace'!$D$15*'1 Pasiva'!D15</f>
        <v>12188.4</v>
      </c>
      <c r="J15" s="69">
        <f>'1 Informace'!$D$15*'1 Pasiva'!E15</f>
        <v>12974.4</v>
      </c>
      <c r="K15" s="63"/>
    </row>
    <row r="16" spans="1:11" x14ac:dyDescent="0.25">
      <c r="A16" s="63" t="s">
        <v>103</v>
      </c>
      <c r="F16" s="65"/>
      <c r="G16" s="283">
        <f>'1 Aktiva'!B21-'4 Goodwill - NOA'!G15</f>
        <v>17629.003499999999</v>
      </c>
      <c r="H16" s="70">
        <f>'1 Aktiva'!C21-'4 Goodwill - NOA'!H15</f>
        <v>28000.823</v>
      </c>
      <c r="I16" s="70">
        <f>'1 Aktiva'!D21-'4 Goodwill - NOA'!I15</f>
        <v>35963.549500000001</v>
      </c>
      <c r="J16" s="70">
        <f>'1 Aktiva'!E21-'4 Goodwill - NOA'!J15</f>
        <v>51343.981500000002</v>
      </c>
      <c r="K16" s="63"/>
    </row>
    <row r="17" spans="1:11" x14ac:dyDescent="0.25">
      <c r="A17" s="63" t="s">
        <v>150</v>
      </c>
      <c r="F17" s="65"/>
      <c r="G17" s="283">
        <f>'1 Aktiva'!B10</f>
        <v>11000</v>
      </c>
      <c r="H17" s="70">
        <f>'1 Aktiva'!C10</f>
        <v>11000</v>
      </c>
      <c r="I17" s="70">
        <f>'1 Aktiva'!D10</f>
        <v>11000</v>
      </c>
      <c r="J17" s="70">
        <f>'1 Aktiva'!E10</f>
        <v>11000</v>
      </c>
      <c r="K17" s="63"/>
    </row>
    <row r="18" spans="1:11" ht="16.5" thickBot="1" x14ac:dyDescent="0.3">
      <c r="A18" s="63" t="s">
        <v>151</v>
      </c>
      <c r="F18" s="65"/>
      <c r="G18" s="283">
        <f>'1 Aktiva'!B20</f>
        <v>5000</v>
      </c>
      <c r="H18" s="70">
        <f>'1 Aktiva'!C20</f>
        <v>5000</v>
      </c>
      <c r="I18" s="70">
        <f>'1 Aktiva'!D20</f>
        <v>5000</v>
      </c>
      <c r="J18" s="70">
        <f>'1 Aktiva'!E20</f>
        <v>5000</v>
      </c>
      <c r="K18" s="63"/>
    </row>
    <row r="19" spans="1:11" ht="16.5" thickBot="1" x14ac:dyDescent="0.3">
      <c r="A19" s="71" t="s">
        <v>58</v>
      </c>
      <c r="B19" s="72"/>
      <c r="C19" s="72"/>
      <c r="D19" s="72"/>
      <c r="E19" s="72"/>
      <c r="F19" s="73"/>
      <c r="G19" s="284">
        <f>SUM(G16:G18)</f>
        <v>33629.003499999999</v>
      </c>
      <c r="H19" s="64">
        <f>SUM(H16:H18)</f>
        <v>44000.823000000004</v>
      </c>
      <c r="I19" s="64">
        <f>SUM(I16:I18)</f>
        <v>51963.549500000001</v>
      </c>
      <c r="J19" s="64">
        <f>SUM(J16:J18)</f>
        <v>67343.981499999994</v>
      </c>
      <c r="K19" s="63"/>
    </row>
    <row r="21" spans="1:11" ht="16.5" thickBot="1" x14ac:dyDescent="0.3">
      <c r="A21" s="2" t="s">
        <v>228</v>
      </c>
    </row>
    <row r="22" spans="1:11" ht="16.5" thickBot="1" x14ac:dyDescent="0.3">
      <c r="A22" s="264"/>
      <c r="B22" s="280"/>
      <c r="C22" s="280"/>
      <c r="D22" s="280"/>
      <c r="E22" s="280"/>
      <c r="F22" s="281"/>
      <c r="G22" s="238">
        <f>G14</f>
        <v>2022</v>
      </c>
      <c r="H22" s="239">
        <f>H14</f>
        <v>2023</v>
      </c>
      <c r="I22" s="240">
        <f>I14</f>
        <v>2024</v>
      </c>
      <c r="J22" s="241">
        <f>J14</f>
        <v>2025</v>
      </c>
      <c r="K22" s="63"/>
    </row>
    <row r="23" spans="1:11" ht="16.5" thickBot="1" x14ac:dyDescent="0.3">
      <c r="A23" s="71" t="s">
        <v>229</v>
      </c>
      <c r="B23" s="72"/>
      <c r="C23" s="72"/>
      <c r="D23" s="72"/>
      <c r="E23" s="72"/>
      <c r="F23" s="73"/>
      <c r="G23" s="284">
        <f>G11-G19</f>
        <v>75633.600000000006</v>
      </c>
      <c r="H23" s="64">
        <f>H11-H19</f>
        <v>85435.799999999988</v>
      </c>
      <c r="I23" s="64">
        <f>I11-I19</f>
        <v>91398.399999999994</v>
      </c>
      <c r="J23" s="64">
        <f>J11-J19</f>
        <v>92552.400000000023</v>
      </c>
      <c r="K23" s="63"/>
    </row>
  </sheetData>
  <phoneticPr fontId="0" type="noConversion"/>
  <hyperlinks>
    <hyperlink ref="J1" location="Obsah!A1" display="Skok na obsah" xr:uid="{00000000-0004-0000-1400-000000000000}"/>
  </hyperlinks>
  <printOptions gridLinesSet="0"/>
  <pageMargins left="0.78740157480314965" right="0.78740157480314965" top="0.98425196850393704" bottom="0.78740157480314965" header="0.51181102362204722" footer="0.51181102362204722"/>
  <pageSetup paperSize="9" scale="94" orientation="portrait" r:id="rId1"/>
  <headerFooter alignWithMargins="0">
    <oddHeader>&amp;L&amp;"Arial CE,Obyčejné"&amp;10Mařík, M. a kol.: Metody oceňování podniku pro pokročilé
Ekopress 2023&amp;R&amp;"Arial CE,Obyčejné"&amp;10Příklad: Vzájemná shoda metod DCF a EVA</oddHeader>
    <oddFooter>&amp;C&amp;"Arial CE,Obyčejné"&amp;10&amp;A - str. &amp;P&amp;R&amp;"Arial CE,Obyčejné"&amp;10©  Miloš Mařík, Pavla Maříková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indexed="43"/>
    <pageSetUpPr fitToPage="1"/>
  </sheetPr>
  <dimension ref="A1:E76"/>
  <sheetViews>
    <sheetView showGridLines="0" workbookViewId="0"/>
  </sheetViews>
  <sheetFormatPr defaultRowHeight="15.75" x14ac:dyDescent="0.25"/>
  <cols>
    <col min="1" max="1" width="40.625" customWidth="1"/>
    <col min="2" max="5" width="8.625" customWidth="1"/>
    <col min="6" max="6" width="5.5" customWidth="1"/>
    <col min="7" max="7" width="3" customWidth="1"/>
  </cols>
  <sheetData>
    <row r="1" spans="1:5" ht="18.75" x14ac:dyDescent="0.3">
      <c r="A1" s="554" t="s">
        <v>401</v>
      </c>
      <c r="E1" s="555" t="s">
        <v>290</v>
      </c>
    </row>
    <row r="2" spans="1:5" ht="20.25" customHeight="1" x14ac:dyDescent="0.25">
      <c r="A2" s="3" t="s">
        <v>236</v>
      </c>
    </row>
    <row r="3" spans="1:5" x14ac:dyDescent="0.25">
      <c r="A3" s="130" t="str">
        <f>"Výsledky hospodaření v roce "&amp;FIXED(rok+4,0,1)&amp;" budou stejné jako v roce "&amp;FIXED(rok+3,0,1)&amp;", ale již se v nich"</f>
        <v>Výsledky hospodaření v roce 2026 budou stejné jako v roce 2025, ale již se v nich</v>
      </c>
    </row>
    <row r="4" spans="1:5" x14ac:dyDescent="0.25">
      <c r="A4" s="130" t="s">
        <v>83</v>
      </c>
    </row>
    <row r="5" spans="1:5" x14ac:dyDescent="0.25">
      <c r="A5" s="165" t="s">
        <v>152</v>
      </c>
      <c r="B5" s="164">
        <f>'1 Společné úpravy - WACC'!B6</f>
        <v>0.19</v>
      </c>
      <c r="C5" s="164">
        <f>'1 Společné úpravy - WACC'!C6</f>
        <v>0.19</v>
      </c>
      <c r="D5" s="164">
        <f>'1 Společné úpravy - WACC'!D6</f>
        <v>0.19</v>
      </c>
      <c r="E5" s="164">
        <f>'1 Společné úpravy - WACC'!E6</f>
        <v>0.19</v>
      </c>
    </row>
    <row r="6" spans="1:5" x14ac:dyDescent="0.25">
      <c r="A6" s="134"/>
      <c r="B6" s="332"/>
      <c r="C6" s="332"/>
      <c r="D6" s="332"/>
      <c r="E6" s="332"/>
    </row>
    <row r="7" spans="1:5" x14ac:dyDescent="0.25">
      <c r="A7" s="2" t="s">
        <v>234</v>
      </c>
    </row>
    <row r="8" spans="1:5" ht="31.5" x14ac:dyDescent="0.25">
      <c r="A8" s="301"/>
      <c r="B8" s="302">
        <f>rok+1</f>
        <v>2023</v>
      </c>
      <c r="C8" s="302">
        <f>B8+1</f>
        <v>2024</v>
      </c>
      <c r="D8" s="302">
        <f>C8+1</f>
        <v>2025</v>
      </c>
      <c r="E8" s="300" t="str">
        <f>FIXED(D8+1,0,1)&amp;" 2.fáze"</f>
        <v>2026 2.fáze</v>
      </c>
    </row>
    <row r="9" spans="1:5" x14ac:dyDescent="0.25">
      <c r="A9" s="88" t="s">
        <v>114</v>
      </c>
      <c r="B9" s="133">
        <f>'2 Rezervy - Výsledovka'!C10</f>
        <v>23884.600000000006</v>
      </c>
      <c r="C9" s="133">
        <f>'2 Rezervy - Výsledovka'!D10</f>
        <v>23966</v>
      </c>
      <c r="D9" s="133">
        <f>'2 Rezervy - Výsledovka'!E10</f>
        <v>29477</v>
      </c>
      <c r="E9" s="133">
        <f>'2 Rezervy - Výsledovka'!E10+'2 Rezervy - Výsledovka'!E8</f>
        <v>29477</v>
      </c>
    </row>
    <row r="10" spans="1:5" x14ac:dyDescent="0.25">
      <c r="A10" s="176" t="s">
        <v>169</v>
      </c>
      <c r="B10" s="166">
        <f>'2 Rezervy - Výsledovka'!C8</f>
        <v>100</v>
      </c>
      <c r="C10" s="166">
        <f>'2 Rezervy - Výsledovka'!D8</f>
        <v>-500</v>
      </c>
      <c r="D10" s="166">
        <f>'2 Rezervy - Výsledovka'!E8</f>
        <v>0</v>
      </c>
      <c r="E10" s="136">
        <v>0</v>
      </c>
    </row>
    <row r="11" spans="1:5" x14ac:dyDescent="0.25">
      <c r="A11" s="372" t="s">
        <v>168</v>
      </c>
      <c r="B11" s="343">
        <f>'4 Goodwill - příprava'!P11</f>
        <v>500</v>
      </c>
      <c r="C11" s="343">
        <f>'4 Goodwill - příprava'!Q11</f>
        <v>500</v>
      </c>
      <c r="D11" s="344">
        <v>0</v>
      </c>
      <c r="E11" s="344">
        <v>0</v>
      </c>
    </row>
    <row r="12" spans="1:5" x14ac:dyDescent="0.25">
      <c r="A12" s="370" t="s">
        <v>200</v>
      </c>
      <c r="B12" s="166">
        <f>'3 Marketing - příprava'!C11</f>
        <v>3600</v>
      </c>
      <c r="C12" s="136">
        <f>'3 Marketing - příprava'!D11</f>
        <v>0</v>
      </c>
      <c r="D12" s="136">
        <f>'3 Marketing - příprava'!E11</f>
        <v>0</v>
      </c>
      <c r="E12" s="136">
        <v>0</v>
      </c>
    </row>
    <row r="13" spans="1:5" x14ac:dyDescent="0.25">
      <c r="A13" s="371" t="s">
        <v>201</v>
      </c>
      <c r="B13" s="133">
        <f>-'3 Marketing - příprava'!C14</f>
        <v>-2030</v>
      </c>
      <c r="C13" s="81">
        <f>-'3 Marketing - příprava'!D14</f>
        <v>-2030</v>
      </c>
      <c r="D13" s="81">
        <f>-'3 Marketing - příprava'!E14</f>
        <v>-1200</v>
      </c>
      <c r="E13" s="81">
        <v>0</v>
      </c>
    </row>
    <row r="14" spans="1:5" x14ac:dyDescent="0.25">
      <c r="A14" s="89" t="s">
        <v>249</v>
      </c>
      <c r="B14" s="167">
        <f>SUM(B9:B13)</f>
        <v>26054.600000000006</v>
      </c>
      <c r="C14" s="82">
        <f>SUM(C9:C13)</f>
        <v>21936</v>
      </c>
      <c r="D14" s="82">
        <f>SUM(D9:D13)</f>
        <v>28277</v>
      </c>
      <c r="E14" s="82">
        <f>SUM(E9:E13)</f>
        <v>29477</v>
      </c>
    </row>
    <row r="15" spans="1:5" x14ac:dyDescent="0.25">
      <c r="A15" s="88" t="s">
        <v>84</v>
      </c>
      <c r="B15" s="133">
        <f>'1 Společné úpravy - Hodnota'!B10</f>
        <v>4557.0740000000014</v>
      </c>
      <c r="C15" s="133">
        <f>'1 Společné úpravy - Hodnota'!C10</f>
        <v>4458.54</v>
      </c>
      <c r="D15" s="133">
        <f>'1 Společné úpravy - Hodnota'!D10</f>
        <v>5600.63</v>
      </c>
      <c r="E15" s="133">
        <f>'1 Společné úpravy - Hodnota'!E10</f>
        <v>5600.63</v>
      </c>
    </row>
    <row r="16" spans="1:5" x14ac:dyDescent="0.25">
      <c r="A16" s="303" t="s">
        <v>248</v>
      </c>
      <c r="B16" s="304">
        <f>B14-B15</f>
        <v>21497.526000000005</v>
      </c>
      <c r="C16" s="305">
        <f>C14-C15</f>
        <v>17477.46</v>
      </c>
      <c r="D16" s="305">
        <f>D14-D15</f>
        <v>22676.37</v>
      </c>
      <c r="E16" s="305">
        <f>E14-E15</f>
        <v>23876.37</v>
      </c>
    </row>
    <row r="17" spans="1:5" x14ac:dyDescent="0.25">
      <c r="B17" s="108"/>
    </row>
    <row r="18" spans="1:5" x14ac:dyDescent="0.25">
      <c r="A18" s="2" t="s">
        <v>235</v>
      </c>
    </row>
    <row r="19" spans="1:5" ht="31.5" x14ac:dyDescent="0.25">
      <c r="A19" s="301"/>
      <c r="B19" s="302">
        <f>rok+1</f>
        <v>2023</v>
      </c>
      <c r="C19" s="302">
        <f>B19+1</f>
        <v>2024</v>
      </c>
      <c r="D19" s="302">
        <f>C19+1</f>
        <v>2025</v>
      </c>
      <c r="E19" s="300" t="str">
        <f>FIXED(D19+1,0,1)&amp;" 2.fáze"</f>
        <v>2026 2.fáze</v>
      </c>
    </row>
    <row r="20" spans="1:5" x14ac:dyDescent="0.25">
      <c r="A20" s="88" t="s">
        <v>114</v>
      </c>
      <c r="B20" s="133">
        <f>'2 Rezervy - Výsledovka'!C10</f>
        <v>23884.600000000006</v>
      </c>
      <c r="C20" s="133">
        <f>'2 Rezervy - Výsledovka'!D10</f>
        <v>23966</v>
      </c>
      <c r="D20" s="133">
        <f>'2 Rezervy - Výsledovka'!E10</f>
        <v>29477</v>
      </c>
      <c r="E20" s="81">
        <f>D20</f>
        <v>29477</v>
      </c>
    </row>
    <row r="21" spans="1:5" x14ac:dyDescent="0.25">
      <c r="A21" s="372" t="s">
        <v>168</v>
      </c>
      <c r="B21" s="343">
        <f>'4 Goodwill - příprava'!P11</f>
        <v>500</v>
      </c>
      <c r="C21" s="343">
        <f>'4 Goodwill - příprava'!Q11</f>
        <v>500</v>
      </c>
      <c r="D21" s="343">
        <v>0</v>
      </c>
      <c r="E21" s="344">
        <v>0</v>
      </c>
    </row>
    <row r="22" spans="1:5" x14ac:dyDescent="0.25">
      <c r="A22" s="370" t="s">
        <v>200</v>
      </c>
      <c r="B22" s="166">
        <f>'3 Marketing - příprava'!C11</f>
        <v>3600</v>
      </c>
      <c r="C22" s="166">
        <f>'3 Marketing - příprava'!D11</f>
        <v>0</v>
      </c>
      <c r="D22" s="166">
        <f>'3 Marketing - příprava'!E11</f>
        <v>0</v>
      </c>
      <c r="E22" s="136">
        <v>0</v>
      </c>
    </row>
    <row r="23" spans="1:5" x14ac:dyDescent="0.25">
      <c r="A23" s="371" t="s">
        <v>201</v>
      </c>
      <c r="B23" s="133">
        <f>-'3 Marketing - příprava'!C14</f>
        <v>-2030</v>
      </c>
      <c r="C23" s="133">
        <f>-'3 Marketing - příprava'!D14</f>
        <v>-2030</v>
      </c>
      <c r="D23" s="133">
        <f>-'3 Marketing - příprava'!E14</f>
        <v>-1200</v>
      </c>
      <c r="E23" s="81">
        <v>0</v>
      </c>
    </row>
    <row r="24" spans="1:5" x14ac:dyDescent="0.25">
      <c r="A24" s="89" t="s">
        <v>101</v>
      </c>
      <c r="B24" s="167">
        <f>SUM(B20:B23)</f>
        <v>25954.600000000006</v>
      </c>
      <c r="C24" s="82">
        <f>SUM(C20:C23)</f>
        <v>22436</v>
      </c>
      <c r="D24" s="82">
        <f>SUM(D20:D23)</f>
        <v>28277</v>
      </c>
      <c r="E24" s="82">
        <f>SUM(E20:E23)</f>
        <v>29477</v>
      </c>
    </row>
    <row r="25" spans="1:5" x14ac:dyDescent="0.25">
      <c r="A25" s="88" t="s">
        <v>84</v>
      </c>
      <c r="B25" s="133">
        <f>'1 Společné úpravy - Hodnota'!B10</f>
        <v>4557.0740000000014</v>
      </c>
      <c r="C25" s="133">
        <f>'1 Společné úpravy - Hodnota'!C10</f>
        <v>4458.54</v>
      </c>
      <c r="D25" s="133">
        <f>'1 Společné úpravy - Hodnota'!D10</f>
        <v>5600.63</v>
      </c>
      <c r="E25" s="133">
        <f>'1 Společné úpravy - Hodnota'!E10</f>
        <v>5600.63</v>
      </c>
    </row>
    <row r="26" spans="1:5" x14ac:dyDescent="0.25">
      <c r="A26" s="303" t="s">
        <v>155</v>
      </c>
      <c r="B26" s="304">
        <f>B24-B25</f>
        <v>21397.526000000005</v>
      </c>
      <c r="C26" s="305">
        <f>C24-C25</f>
        <v>17977.46</v>
      </c>
      <c r="D26" s="305">
        <f>D24-D25</f>
        <v>22676.37</v>
      </c>
      <c r="E26" s="305">
        <f>E24-E25</f>
        <v>23876.37</v>
      </c>
    </row>
    <row r="27" spans="1:5" x14ac:dyDescent="0.25">
      <c r="B27" s="108"/>
    </row>
    <row r="28" spans="1:5" x14ac:dyDescent="0.25">
      <c r="A28" s="3" t="s">
        <v>262</v>
      </c>
    </row>
    <row r="30" spans="1:5" x14ac:dyDescent="0.25">
      <c r="A30" s="2" t="s">
        <v>85</v>
      </c>
      <c r="C30" s="108"/>
    </row>
    <row r="31" spans="1:5" ht="31.5" x14ac:dyDescent="0.25">
      <c r="A31" s="301"/>
      <c r="B31" s="302">
        <f>B8</f>
        <v>2023</v>
      </c>
      <c r="C31" s="302">
        <f>C8</f>
        <v>2024</v>
      </c>
      <c r="D31" s="302">
        <f>D8</f>
        <v>2025</v>
      </c>
      <c r="E31" s="300" t="str">
        <f>E8</f>
        <v>2026 2.fáze</v>
      </c>
    </row>
    <row r="32" spans="1:5" x14ac:dyDescent="0.25">
      <c r="A32" s="169" t="s">
        <v>109</v>
      </c>
      <c r="B32" s="41">
        <f>B16</f>
        <v>21497.526000000005</v>
      </c>
      <c r="C32" s="41">
        <f>C16</f>
        <v>17477.46</v>
      </c>
      <c r="D32" s="41">
        <f>D16</f>
        <v>22676.37</v>
      </c>
      <c r="E32" s="41">
        <f>E16</f>
        <v>23876.37</v>
      </c>
    </row>
    <row r="33" spans="1:5" x14ac:dyDescent="0.25">
      <c r="A33" s="74" t="s">
        <v>82</v>
      </c>
      <c r="B33" s="175">
        <f>'1 Společné úpravy - WACC'!B28</f>
        <v>9.557296502733692E-2</v>
      </c>
      <c r="C33" s="175">
        <f>'1 Společné úpravy - WACC'!C28</f>
        <v>9.3572921150700442E-2</v>
      </c>
      <c r="D33" s="175">
        <f>'1 Společné úpravy - WACC'!D28</f>
        <v>9.3083259169047722E-2</v>
      </c>
      <c r="E33" s="175">
        <f>'1 Společné úpravy - WACC'!E28</f>
        <v>9.361151329528053E-2</v>
      </c>
    </row>
    <row r="34" spans="1:5" x14ac:dyDescent="0.25">
      <c r="A34" s="74" t="s">
        <v>153</v>
      </c>
      <c r="B34" s="124">
        <f>'4 Goodwill - NOA'!G23</f>
        <v>75633.600000000006</v>
      </c>
      <c r="C34" s="124">
        <f>'4 Goodwill - NOA'!H23</f>
        <v>85435.799999999988</v>
      </c>
      <c r="D34" s="124">
        <f>'4 Goodwill - NOA'!I23</f>
        <v>91398.399999999994</v>
      </c>
      <c r="E34" s="124">
        <f>'4 Goodwill - NOA'!J23</f>
        <v>92552.400000000023</v>
      </c>
    </row>
    <row r="35" spans="1:5" x14ac:dyDescent="0.25">
      <c r="A35" s="107" t="s">
        <v>237</v>
      </c>
      <c r="B35" s="133">
        <f>B33*B34</f>
        <v>7228.5274076915903</v>
      </c>
      <c r="C35" s="133">
        <f>C33*C34</f>
        <v>7994.4773768470113</v>
      </c>
      <c r="D35" s="133">
        <f>D33*D34</f>
        <v>8507.6609548362903</v>
      </c>
      <c r="E35" s="133">
        <f>E33*E34</f>
        <v>8663.9702231101237</v>
      </c>
    </row>
    <row r="36" spans="1:5" x14ac:dyDescent="0.25">
      <c r="A36" s="303" t="s">
        <v>86</v>
      </c>
      <c r="B36" s="304">
        <f>B32-B35</f>
        <v>14268.998592308415</v>
      </c>
      <c r="C36" s="304">
        <f>C32-C35</f>
        <v>9482.9826231529878</v>
      </c>
      <c r="D36" s="304">
        <f>D32-D35</f>
        <v>14168.709045163709</v>
      </c>
      <c r="E36" s="304">
        <f>E32-E35</f>
        <v>15212.399776889875</v>
      </c>
    </row>
    <row r="38" spans="1:5" x14ac:dyDescent="0.25">
      <c r="A38" s="2" t="s">
        <v>87</v>
      </c>
    </row>
    <row r="39" spans="1:5" ht="31.5" x14ac:dyDescent="0.25">
      <c r="A39" s="301"/>
      <c r="B39" s="302">
        <f>rok+1</f>
        <v>2023</v>
      </c>
      <c r="C39" s="302">
        <f>B39+1</f>
        <v>2024</v>
      </c>
      <c r="D39" s="302">
        <f>C39+1</f>
        <v>2025</v>
      </c>
      <c r="E39" s="300" t="str">
        <f>FIXED(D39+1,0,1)&amp;" 2.fáze"</f>
        <v>2026 2.fáze</v>
      </c>
    </row>
    <row r="40" spans="1:5" x14ac:dyDescent="0.25">
      <c r="A40" s="77" t="s">
        <v>88</v>
      </c>
      <c r="B40" s="79">
        <f>B36</f>
        <v>14268.998592308415</v>
      </c>
      <c r="C40" s="79">
        <f>C36</f>
        <v>9482.9826231529878</v>
      </c>
      <c r="D40" s="79">
        <f>D36</f>
        <v>14168.709045163709</v>
      </c>
      <c r="E40" s="79">
        <f>E36</f>
        <v>15212.399776889875</v>
      </c>
    </row>
    <row r="41" spans="1:5" x14ac:dyDescent="0.25">
      <c r="A41" s="78" t="s">
        <v>82</v>
      </c>
      <c r="B41" s="170">
        <f>B33</f>
        <v>9.557296502733692E-2</v>
      </c>
      <c r="C41" s="170">
        <f>C33</f>
        <v>9.3572921150700442E-2</v>
      </c>
      <c r="D41" s="170">
        <f>D33</f>
        <v>9.3083259169047722E-2</v>
      </c>
      <c r="E41" s="170">
        <f>E33</f>
        <v>9.361151329528053E-2</v>
      </c>
    </row>
    <row r="42" spans="1:5" x14ac:dyDescent="0.25">
      <c r="A42" s="78" t="s">
        <v>145</v>
      </c>
      <c r="B42" s="101">
        <f>1/(1+B41)</f>
        <v>0.91276439992752822</v>
      </c>
      <c r="C42" s="101">
        <f>B42/(1+C41)</f>
        <v>0.83466258378735425</v>
      </c>
      <c r="D42" s="101">
        <f>C42/(1+D41)</f>
        <v>0.76358555195681743</v>
      </c>
      <c r="E42" s="129"/>
    </row>
    <row r="43" spans="1:5" x14ac:dyDescent="0.25">
      <c r="A43" s="78" t="s">
        <v>89</v>
      </c>
      <c r="B43" s="81">
        <f>B40*B42</f>
        <v>13024.233937675135</v>
      </c>
      <c r="C43" s="81">
        <f>C40*C42</f>
        <v>7915.090778251455</v>
      </c>
      <c r="D43" s="81">
        <f>D40*D42</f>
        <v>10819.021516766883</v>
      </c>
      <c r="E43" s="108"/>
    </row>
    <row r="45" spans="1:5" x14ac:dyDescent="0.25">
      <c r="A45" s="2" t="s">
        <v>90</v>
      </c>
    </row>
    <row r="46" spans="1:5" x14ac:dyDescent="0.25">
      <c r="A46" s="40" t="s">
        <v>91</v>
      </c>
      <c r="B46" s="102">
        <f>E40/E41</f>
        <v>162505.6495871947</v>
      </c>
    </row>
    <row r="47" spans="1:5" x14ac:dyDescent="0.25">
      <c r="A47" s="77" t="s">
        <v>92</v>
      </c>
      <c r="B47" s="79">
        <f>B46*D42</f>
        <v>124086.96613613922</v>
      </c>
    </row>
    <row r="48" spans="1:5" x14ac:dyDescent="0.25">
      <c r="A48" s="78" t="s">
        <v>93</v>
      </c>
      <c r="B48" s="81">
        <f>SUM(B43:D43)</f>
        <v>31758.346232693471</v>
      </c>
    </row>
    <row r="49" spans="1:5" x14ac:dyDescent="0.25">
      <c r="A49" s="104" t="s">
        <v>94</v>
      </c>
      <c r="B49" s="105">
        <f>B47+B48</f>
        <v>155845.3123688327</v>
      </c>
      <c r="C49" s="345">
        <f>B49-'3 Marketing - Hodnota'!B47</f>
        <v>-6500</v>
      </c>
    </row>
    <row r="50" spans="1:5" x14ac:dyDescent="0.25">
      <c r="A50" s="78" t="s">
        <v>154</v>
      </c>
      <c r="B50" s="81">
        <f>'4 Goodwill - NOA'!G23</f>
        <v>75633.600000000006</v>
      </c>
    </row>
    <row r="51" spans="1:5" x14ac:dyDescent="0.25">
      <c r="A51" s="103" t="s">
        <v>95</v>
      </c>
      <c r="B51" s="82">
        <f>B49+B50</f>
        <v>231478.91236883271</v>
      </c>
    </row>
    <row r="52" spans="1:5" x14ac:dyDescent="0.25">
      <c r="A52" s="78" t="s">
        <v>96</v>
      </c>
      <c r="B52" s="81">
        <f>'4 Goodwill - NOA'!G10</f>
        <v>36773</v>
      </c>
    </row>
    <row r="53" spans="1:5" x14ac:dyDescent="0.25">
      <c r="A53" s="103" t="s">
        <v>97</v>
      </c>
      <c r="B53" s="82">
        <f>B51-B52</f>
        <v>194705.91236883271</v>
      </c>
    </row>
    <row r="54" spans="1:5" x14ac:dyDescent="0.25">
      <c r="A54" s="78" t="s">
        <v>98</v>
      </c>
      <c r="B54" s="81">
        <f>'4 Goodwill - NOA'!G19</f>
        <v>33629.003499999999</v>
      </c>
    </row>
    <row r="55" spans="1:5" x14ac:dyDescent="0.25">
      <c r="A55" s="306" t="s">
        <v>199</v>
      </c>
      <c r="B55" s="307">
        <f>B53+B54</f>
        <v>228334.9158688327</v>
      </c>
    </row>
    <row r="57" spans="1:5" x14ac:dyDescent="0.25">
      <c r="A57" s="3" t="s">
        <v>263</v>
      </c>
    </row>
    <row r="58" spans="1:5" x14ac:dyDescent="0.25">
      <c r="A58" s="2" t="s">
        <v>87</v>
      </c>
    </row>
    <row r="59" spans="1:5" ht="31.5" x14ac:dyDescent="0.25">
      <c r="A59" s="301"/>
      <c r="B59" s="302">
        <f>rok+1</f>
        <v>2023</v>
      </c>
      <c r="C59" s="302">
        <f>B59+1</f>
        <v>2024</v>
      </c>
      <c r="D59" s="302">
        <f>C59+1</f>
        <v>2025</v>
      </c>
      <c r="E59" s="300" t="str">
        <f>FIXED(D59+1,0,1)&amp;" 2.fáze"</f>
        <v>2026 2.fáze</v>
      </c>
    </row>
    <row r="60" spans="1:5" x14ac:dyDescent="0.25">
      <c r="A60" s="87" t="s">
        <v>141</v>
      </c>
      <c r="B60" s="136">
        <f>B26</f>
        <v>21397.526000000005</v>
      </c>
      <c r="C60" s="136">
        <f>C26</f>
        <v>17977.46</v>
      </c>
      <c r="D60" s="136">
        <f>D26</f>
        <v>22676.37</v>
      </c>
      <c r="E60" s="136">
        <f>E26</f>
        <v>23876.37</v>
      </c>
    </row>
    <row r="61" spans="1:5" x14ac:dyDescent="0.25">
      <c r="A61" s="77" t="s">
        <v>142</v>
      </c>
      <c r="B61" s="79">
        <f>'4 Goodwill - NOA'!H7-'4 Goodwill - NOA'!G7</f>
        <v>100</v>
      </c>
      <c r="C61" s="79">
        <f>'4 Goodwill - NOA'!I7-'4 Goodwill - NOA'!H7</f>
        <v>-500</v>
      </c>
      <c r="D61" s="79">
        <f>'4 Goodwill - NOA'!J7-'4 Goodwill - NOA'!I7</f>
        <v>0</v>
      </c>
      <c r="E61" s="79">
        <v>0</v>
      </c>
    </row>
    <row r="62" spans="1:5" x14ac:dyDescent="0.25">
      <c r="A62" s="78" t="s">
        <v>110</v>
      </c>
      <c r="B62" s="81">
        <f>-('4 Goodwill - NOA'!H23-'4 Goodwill - NOA'!G23)</f>
        <v>-9802.1999999999825</v>
      </c>
      <c r="C62" s="81">
        <f>-('4 Goodwill - NOA'!I23-'4 Goodwill - NOA'!H23)</f>
        <v>-5962.6000000000058</v>
      </c>
      <c r="D62" s="81">
        <f>-('4 Goodwill - NOA'!J23-'4 Goodwill - NOA'!I23)</f>
        <v>-1154.0000000000291</v>
      </c>
      <c r="E62" s="81">
        <v>0</v>
      </c>
    </row>
    <row r="63" spans="1:5" x14ac:dyDescent="0.25">
      <c r="A63" s="308" t="s">
        <v>111</v>
      </c>
      <c r="B63" s="309">
        <f>SUM(B60:B62)</f>
        <v>11695.326000000023</v>
      </c>
      <c r="C63" s="309">
        <f>SUM(C60:C62)</f>
        <v>11514.859999999993</v>
      </c>
      <c r="D63" s="309">
        <f>SUM(D60:D62)</f>
        <v>21522.36999999997</v>
      </c>
      <c r="E63" s="309">
        <f>SUM(E60:E62)</f>
        <v>23876.37</v>
      </c>
    </row>
    <row r="64" spans="1:5" x14ac:dyDescent="0.25">
      <c r="A64" s="78" t="s">
        <v>82</v>
      </c>
      <c r="B64" s="170">
        <f>B41</f>
        <v>9.557296502733692E-2</v>
      </c>
      <c r="C64" s="170">
        <f>C41</f>
        <v>9.3572921150700442E-2</v>
      </c>
      <c r="D64" s="170">
        <f>D41</f>
        <v>9.3083259169047722E-2</v>
      </c>
      <c r="E64" s="170">
        <f>E41</f>
        <v>9.361151329528053E-2</v>
      </c>
    </row>
    <row r="65" spans="1:5" x14ac:dyDescent="0.25">
      <c r="A65" s="78" t="s">
        <v>156</v>
      </c>
      <c r="B65" s="101">
        <f>1/(1+B64)</f>
        <v>0.91276439992752822</v>
      </c>
      <c r="C65" s="101">
        <f>B65/(1+C64)</f>
        <v>0.83466258378735425</v>
      </c>
      <c r="D65" s="101">
        <f>C65/(1+D64)</f>
        <v>0.76358555195681743</v>
      </c>
      <c r="E65" s="129"/>
    </row>
    <row r="66" spans="1:5" x14ac:dyDescent="0.25">
      <c r="A66" s="78" t="s">
        <v>112</v>
      </c>
      <c r="B66" s="81">
        <f>B63*B65</f>
        <v>10675.07721834684</v>
      </c>
      <c r="C66" s="81">
        <f>C63*C65</f>
        <v>9611.022799549648</v>
      </c>
      <c r="D66" s="81">
        <f>D63*D65</f>
        <v>16434.170775868824</v>
      </c>
      <c r="E66" s="108"/>
    </row>
    <row r="67" spans="1:5" x14ac:dyDescent="0.25">
      <c r="B67" s="108"/>
      <c r="C67" s="108"/>
      <c r="D67" s="108"/>
      <c r="E67" s="108"/>
    </row>
    <row r="68" spans="1:5" x14ac:dyDescent="0.25">
      <c r="A68" s="2" t="s">
        <v>160</v>
      </c>
    </row>
    <row r="69" spans="1:5" x14ac:dyDescent="0.25">
      <c r="A69" s="40" t="s">
        <v>91</v>
      </c>
      <c r="B69" s="174">
        <f>E63/E64</f>
        <v>255058.04958719472</v>
      </c>
    </row>
    <row r="70" spans="1:5" x14ac:dyDescent="0.25">
      <c r="A70" s="77" t="s">
        <v>92</v>
      </c>
      <c r="B70" s="79">
        <f>B69*D65</f>
        <v>194758.64157506739</v>
      </c>
    </row>
    <row r="71" spans="1:5" x14ac:dyDescent="0.25">
      <c r="A71" s="78" t="s">
        <v>93</v>
      </c>
      <c r="B71" s="81">
        <f>SUM(B66:D66)</f>
        <v>36720.270793765318</v>
      </c>
    </row>
    <row r="72" spans="1:5" x14ac:dyDescent="0.25">
      <c r="A72" s="172" t="s">
        <v>95</v>
      </c>
      <c r="B72" s="173">
        <f>B70+B71</f>
        <v>231478.91236883271</v>
      </c>
    </row>
    <row r="73" spans="1:5" x14ac:dyDescent="0.25">
      <c r="A73" s="78" t="s">
        <v>96</v>
      </c>
      <c r="B73" s="81">
        <f>'4 Goodwill - NOA'!G10</f>
        <v>36773</v>
      </c>
    </row>
    <row r="74" spans="1:5" x14ac:dyDescent="0.25">
      <c r="A74" s="103" t="s">
        <v>97</v>
      </c>
      <c r="B74" s="82">
        <f>B72-B73</f>
        <v>194705.91236883271</v>
      </c>
    </row>
    <row r="75" spans="1:5" x14ac:dyDescent="0.25">
      <c r="A75" s="78" t="s">
        <v>98</v>
      </c>
      <c r="B75" s="81">
        <f>'4 Goodwill - NOA'!G19</f>
        <v>33629.003499999999</v>
      </c>
    </row>
    <row r="76" spans="1:5" x14ac:dyDescent="0.25">
      <c r="A76" s="306" t="s">
        <v>199</v>
      </c>
      <c r="B76" s="307">
        <f>B74+B75</f>
        <v>228334.9158688327</v>
      </c>
    </row>
  </sheetData>
  <phoneticPr fontId="0" type="noConversion"/>
  <hyperlinks>
    <hyperlink ref="E1" location="Obsah!A1" display="Skok na obsah" xr:uid="{00000000-0004-0000-1500-000000000000}"/>
  </hyperlinks>
  <printOptions gridLinesSet="0"/>
  <pageMargins left="0.78740157480314965" right="0.78740157480314965" top="0.98425196850393704" bottom="0.78740157480314965" header="0.51181102362204722" footer="0.51181102362204722"/>
  <pageSetup paperSize="9" scale="57" orientation="portrait" r:id="rId1"/>
  <headerFooter alignWithMargins="0">
    <oddHeader>&amp;L&amp;"Arial CE,Obyčejné"&amp;10Mařík, M. a kol.: Metody oceňování podniku pro pokročilé
Ekopress 2023&amp;R&amp;"Arial CE,Obyčejné"&amp;10Příklad: Vzájemná shoda metod DCF a EVA</oddHeader>
    <oddFooter>&amp;C&amp;"Arial CE,Obyčejné"&amp;10&amp;A - str. &amp;P&amp;R&amp;"Arial CE,Obyčejné"&amp;10©  Miloš Mařík, Pavla Maříková</oddFoot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E31"/>
  <sheetViews>
    <sheetView showGridLines="0" workbookViewId="0"/>
  </sheetViews>
  <sheetFormatPr defaultRowHeight="15.75" x14ac:dyDescent="0.25"/>
  <cols>
    <col min="1" max="1" width="40.625" customWidth="1"/>
    <col min="2" max="3" width="9.875" customWidth="1"/>
    <col min="6" max="6" width="10" bestFit="1" customWidth="1"/>
  </cols>
  <sheetData>
    <row r="1" spans="1:5" ht="18.75" x14ac:dyDescent="0.3">
      <c r="A1" s="554" t="s">
        <v>402</v>
      </c>
      <c r="E1" s="555" t="s">
        <v>290</v>
      </c>
    </row>
    <row r="2" spans="1:5" ht="20.25" customHeight="1" x14ac:dyDescent="0.25">
      <c r="A2" s="3" t="s">
        <v>247</v>
      </c>
    </row>
    <row r="3" spans="1:5" ht="18" customHeight="1" x14ac:dyDescent="0.25">
      <c r="A3" s="159" t="s">
        <v>60</v>
      </c>
    </row>
    <row r="4" spans="1:5" x14ac:dyDescent="0.25">
      <c r="A4" s="106" t="s">
        <v>246</v>
      </c>
      <c r="B4" s="287">
        <v>0.13</v>
      </c>
    </row>
    <row r="5" spans="1:5" x14ac:dyDescent="0.25">
      <c r="A5" s="285"/>
      <c r="B5" s="288">
        <f>rok+1</f>
        <v>2023</v>
      </c>
      <c r="C5" s="288">
        <f>B5+1</f>
        <v>2024</v>
      </c>
      <c r="D5" s="288">
        <f>C5+1</f>
        <v>2025</v>
      </c>
      <c r="E5" s="288">
        <f>D5+1</f>
        <v>2026</v>
      </c>
    </row>
    <row r="6" spans="1:5" x14ac:dyDescent="0.25">
      <c r="A6" s="40" t="s">
        <v>152</v>
      </c>
      <c r="B6" s="160">
        <f>'1 Výsledovka'!C4</f>
        <v>0.19</v>
      </c>
      <c r="C6" s="160">
        <f>'1 Výsledovka'!D4</f>
        <v>0.19</v>
      </c>
      <c r="D6" s="160">
        <f>'1 Výsledovka'!E4</f>
        <v>0.19</v>
      </c>
      <c r="E6" s="160">
        <f>D6</f>
        <v>0.19</v>
      </c>
    </row>
    <row r="7" spans="1:5" ht="19.5" customHeight="1" x14ac:dyDescent="0.25">
      <c r="A7" s="286" t="s">
        <v>65</v>
      </c>
      <c r="B7" s="126"/>
      <c r="C7" s="126"/>
      <c r="D7" s="126"/>
      <c r="E7" s="126"/>
    </row>
    <row r="8" spans="1:5" x14ac:dyDescent="0.25">
      <c r="A8" s="374" t="s">
        <v>66</v>
      </c>
      <c r="B8" s="70">
        <f>'1 Pasiva'!B13</f>
        <v>8000</v>
      </c>
      <c r="C8" s="70">
        <f>'1 Pasiva'!C13</f>
        <v>8000</v>
      </c>
      <c r="D8" s="70">
        <f>'1 Pasiva'!D13</f>
        <v>8000</v>
      </c>
      <c r="E8" s="70">
        <f>D8</f>
        <v>8000</v>
      </c>
    </row>
    <row r="9" spans="1:5" x14ac:dyDescent="0.25">
      <c r="A9" s="374" t="s">
        <v>67</v>
      </c>
      <c r="B9" s="70">
        <f>'1 Pasiva'!B14</f>
        <v>28773</v>
      </c>
      <c r="C9" s="70">
        <f>'1 Pasiva'!C14</f>
        <v>33307</v>
      </c>
      <c r="D9" s="70">
        <f>'1 Pasiva'!D14</f>
        <v>35796</v>
      </c>
      <c r="E9" s="70">
        <f>D9</f>
        <v>35796</v>
      </c>
    </row>
    <row r="10" spans="1:5" x14ac:dyDescent="0.25">
      <c r="A10" s="376" t="s">
        <v>69</v>
      </c>
      <c r="B10" s="128">
        <f>SUM(B8:B9)</f>
        <v>36773</v>
      </c>
      <c r="C10" s="128">
        <f>SUM(C8:C9)</f>
        <v>41307</v>
      </c>
      <c r="D10" s="128">
        <f>SUM(D8:D9)</f>
        <v>43796</v>
      </c>
      <c r="E10" s="128">
        <f>SUM(E8:E9)</f>
        <v>43796</v>
      </c>
    </row>
    <row r="11" spans="1:5" x14ac:dyDescent="0.25">
      <c r="A11" s="374" t="s">
        <v>244</v>
      </c>
      <c r="B11" s="161">
        <f t="shared" ref="B11:E12" si="0">B8/B$10</f>
        <v>0.21755092051233241</v>
      </c>
      <c r="C11" s="161">
        <f t="shared" si="0"/>
        <v>0.19367177475972597</v>
      </c>
      <c r="D11" s="161">
        <f t="shared" si="0"/>
        <v>0.18266508356927574</v>
      </c>
      <c r="E11" s="161">
        <f t="shared" si="0"/>
        <v>0.18266508356927574</v>
      </c>
    </row>
    <row r="12" spans="1:5" x14ac:dyDescent="0.25">
      <c r="A12" s="374" t="s">
        <v>71</v>
      </c>
      <c r="B12" s="161">
        <f t="shared" si="0"/>
        <v>0.78244907948766762</v>
      </c>
      <c r="C12" s="161">
        <f t="shared" si="0"/>
        <v>0.80632822524027403</v>
      </c>
      <c r="D12" s="161">
        <f t="shared" si="0"/>
        <v>0.81733491643072431</v>
      </c>
      <c r="E12" s="161">
        <f t="shared" si="0"/>
        <v>0.81733491643072431</v>
      </c>
    </row>
    <row r="13" spans="1:5" x14ac:dyDescent="0.25">
      <c r="A13" s="377" t="s">
        <v>245</v>
      </c>
      <c r="B13" s="162">
        <f>'1 Výsledovka'!$B$22</f>
        <v>0.04</v>
      </c>
      <c r="C13" s="162">
        <f t="shared" ref="C13:E14" si="1">B13</f>
        <v>0.04</v>
      </c>
      <c r="D13" s="162">
        <f t="shared" si="1"/>
        <v>0.04</v>
      </c>
      <c r="E13" s="162">
        <f t="shared" si="1"/>
        <v>0.04</v>
      </c>
    </row>
    <row r="14" spans="1:5" x14ac:dyDescent="0.25">
      <c r="A14" s="374" t="s">
        <v>71</v>
      </c>
      <c r="B14" s="161">
        <f>'1 Výsledovka'!$B$23</f>
        <v>0.05</v>
      </c>
      <c r="C14" s="161">
        <f t="shared" si="1"/>
        <v>0.05</v>
      </c>
      <c r="D14" s="161">
        <f t="shared" si="1"/>
        <v>0.05</v>
      </c>
      <c r="E14" s="161">
        <f t="shared" si="1"/>
        <v>0.05</v>
      </c>
    </row>
    <row r="15" spans="1:5" x14ac:dyDescent="0.25">
      <c r="A15" s="374" t="s">
        <v>186</v>
      </c>
      <c r="B15" s="161">
        <f>B11*B13+B12*B14</f>
        <v>4.7824490794876676E-2</v>
      </c>
      <c r="C15" s="161">
        <f>C11*C13+C12*C14</f>
        <v>4.8063282252402743E-2</v>
      </c>
      <c r="D15" s="161">
        <f>D11*D13+D12*D14</f>
        <v>4.8173349164307246E-2</v>
      </c>
      <c r="E15" s="161">
        <f>E11*E13+E12*E14</f>
        <v>4.8173349164307246E-2</v>
      </c>
    </row>
    <row r="16" spans="1:5" x14ac:dyDescent="0.25">
      <c r="A16" s="378" t="s">
        <v>74</v>
      </c>
      <c r="B16" s="158">
        <f>B15*(1-B6)</f>
        <v>3.8737837543850108E-2</v>
      </c>
      <c r="C16" s="158">
        <f>C15*(1-C6)</f>
        <v>3.8931258624446227E-2</v>
      </c>
      <c r="D16" s="158">
        <f>D15*(1-D6)</f>
        <v>3.9020412823088872E-2</v>
      </c>
      <c r="E16" s="158">
        <f>E15*(1-E6)</f>
        <v>3.9020412823088872E-2</v>
      </c>
    </row>
    <row r="17" spans="1:5" ht="19.5" customHeight="1" x14ac:dyDescent="0.25">
      <c r="A17" s="286" t="s">
        <v>191</v>
      </c>
      <c r="B17" s="126"/>
      <c r="C17" s="126"/>
      <c r="D17" s="126"/>
      <c r="E17" s="126"/>
    </row>
    <row r="18" spans="1:5" x14ac:dyDescent="0.25">
      <c r="A18" s="379" t="s">
        <v>188</v>
      </c>
      <c r="B18" s="380">
        <f>B10*B6*B15</f>
        <v>334.14350000000002</v>
      </c>
      <c r="C18" s="380">
        <f>C10*C6*C15</f>
        <v>377.2165</v>
      </c>
      <c r="D18" s="380">
        <f>D10*D6*D15</f>
        <v>400.86200000000002</v>
      </c>
      <c r="E18" s="380">
        <f>E10*E6*E15</f>
        <v>400.86200000000002</v>
      </c>
    </row>
    <row r="19" spans="1:5" x14ac:dyDescent="0.25">
      <c r="A19" s="381" t="s">
        <v>187</v>
      </c>
      <c r="B19" s="382">
        <f>(B18+C19)/(1+B15)</f>
        <v>8239.6396813488154</v>
      </c>
      <c r="C19" s="382">
        <f>(C18+D19)/(1+C15)</f>
        <v>8299.5527534425819</v>
      </c>
      <c r="D19" s="382">
        <f>(D18+E19)/(1+D15)</f>
        <v>8321.239999999998</v>
      </c>
      <c r="E19" s="382">
        <f>E18/E15</f>
        <v>8321.24</v>
      </c>
    </row>
    <row r="20" spans="1:5" ht="19.5" customHeight="1" x14ac:dyDescent="0.25">
      <c r="A20" s="286" t="s">
        <v>75</v>
      </c>
      <c r="B20" s="126"/>
      <c r="C20" s="126"/>
      <c r="D20" s="126"/>
      <c r="E20" s="126"/>
    </row>
    <row r="21" spans="1:5" x14ac:dyDescent="0.25">
      <c r="A21" s="383" t="s">
        <v>76</v>
      </c>
      <c r="B21" s="382">
        <f ca="1">'5 Leasing - Hodnota před leas.'!B46</f>
        <v>133039.02370098751</v>
      </c>
      <c r="C21" s="382">
        <f ca="1">'5 Leasing - Hodnota před leas.'!C46</f>
        <v>137874.02069563427</v>
      </c>
      <c r="D21" s="382">
        <f ca="1">'5 Leasing - Hodnota před leas.'!D46</f>
        <v>146106.43877467659</v>
      </c>
      <c r="E21" s="382">
        <f ca="1">'5 Leasing - Hodnota před leas.'!E46</f>
        <v>148189.62461538459</v>
      </c>
    </row>
    <row r="22" spans="1:5" x14ac:dyDescent="0.25">
      <c r="A22" s="383" t="s">
        <v>77</v>
      </c>
      <c r="B22" s="384">
        <f t="shared" ref="B22:C22" ca="1" si="2">$B$4+($B$4-B15)*(B10-B19)/B21</f>
        <v>0.14762447850480592</v>
      </c>
      <c r="C22" s="384">
        <f t="shared" ca="1" si="2"/>
        <v>0.14961589192049665</v>
      </c>
      <c r="D22" s="384">
        <f ca="1">$B$4+($B$4-D15)*(D10-D19)/D21</f>
        <v>0.14986757616121649</v>
      </c>
      <c r="E22" s="384">
        <f ca="1">$B$4+($B$4-E15)*(E10-E19)/E21</f>
        <v>0.14958828634281218</v>
      </c>
    </row>
    <row r="23" spans="1:5" ht="19.5" customHeight="1" x14ac:dyDescent="0.25">
      <c r="A23" s="286" t="s">
        <v>78</v>
      </c>
      <c r="B23" s="126"/>
      <c r="C23" s="126"/>
      <c r="D23" s="126"/>
      <c r="E23" s="126"/>
    </row>
    <row r="24" spans="1:5" x14ac:dyDescent="0.25">
      <c r="A24" s="375" t="s">
        <v>79</v>
      </c>
      <c r="B24" s="69">
        <f ca="1">B10+B21</f>
        <v>169812.02370098751</v>
      </c>
      <c r="C24" s="69">
        <f ca="1">C10+C21</f>
        <v>179181.02069563427</v>
      </c>
      <c r="D24" s="69">
        <f ca="1">D10+D21</f>
        <v>189902.43877467659</v>
      </c>
      <c r="E24" s="69">
        <f ca="1">E10+E21</f>
        <v>191985.62461538459</v>
      </c>
    </row>
    <row r="25" spans="1:5" x14ac:dyDescent="0.25">
      <c r="A25" s="375" t="s">
        <v>80</v>
      </c>
      <c r="B25" s="141">
        <f ca="1">B10/B24</f>
        <v>0.21655121468166186</v>
      </c>
      <c r="C25" s="141">
        <f ca="1">C10/C24</f>
        <v>0.23053222846724436</v>
      </c>
      <c r="D25" s="141">
        <f ca="1">D10/D24</f>
        <v>0.23062368383780957</v>
      </c>
      <c r="E25" s="141">
        <f ca="1">E10/E24</f>
        <v>0.22812124651384158</v>
      </c>
    </row>
    <row r="26" spans="1:5" x14ac:dyDescent="0.25">
      <c r="A26" s="375" t="s">
        <v>81</v>
      </c>
      <c r="B26" s="141">
        <f ca="1">B21/B24</f>
        <v>0.78344878531833817</v>
      </c>
      <c r="C26" s="141">
        <f ca="1">C21/C24</f>
        <v>0.7694677715327557</v>
      </c>
      <c r="D26" s="141">
        <f ca="1">D21/D24</f>
        <v>0.76937631616219049</v>
      </c>
      <c r="E26" s="141">
        <f ca="1">E21/E24</f>
        <v>0.77187875348615842</v>
      </c>
    </row>
    <row r="27" spans="1:5" ht="19.5" customHeight="1" x14ac:dyDescent="0.25">
      <c r="A27" s="286" t="s">
        <v>82</v>
      </c>
      <c r="B27" s="126"/>
      <c r="C27" s="126"/>
      <c r="D27" s="126"/>
      <c r="E27" s="126"/>
    </row>
    <row r="28" spans="1:5" x14ac:dyDescent="0.25">
      <c r="A28" s="157" t="s">
        <v>82</v>
      </c>
      <c r="B28" s="163">
        <f ca="1">B16*B25+B22*B26</f>
        <v>0.12404494414210494</v>
      </c>
      <c r="C28" s="163">
        <f ca="1">C16*C25+C22*C26</f>
        <v>0.12409951674967841</v>
      </c>
      <c r="D28" s="163">
        <f ca="1">D16*D25+D22*D26</f>
        <v>0.12430359500920611</v>
      </c>
      <c r="E28" s="163">
        <f ca="1">E16*E25+E22*E26</f>
        <v>0.12436540521110813</v>
      </c>
    </row>
    <row r="31" spans="1:5" x14ac:dyDescent="0.25">
      <c r="A31" s="1"/>
      <c r="B31" s="211"/>
      <c r="C31" s="211"/>
      <c r="D31" s="211"/>
      <c r="E31" s="211"/>
    </row>
  </sheetData>
  <phoneticPr fontId="0" type="noConversion"/>
  <hyperlinks>
    <hyperlink ref="E1" location="Obsah!A1" display="Skok na obsah" xr:uid="{00000000-0004-0000-1600-000000000000}"/>
  </hyperlinks>
  <printOptions gridLinesSet="0"/>
  <pageMargins left="0.78740157480314965" right="0.78740157480314965" top="0.98425196850393704" bottom="0.78740157480314965" header="0.51181102362204722" footer="0.51181102362204722"/>
  <pageSetup paperSize="9" orientation="portrait" r:id="rId1"/>
  <headerFooter alignWithMargins="0">
    <oddHeader>&amp;L&amp;"Arial CE,Obyčejné"&amp;10Mařík, M. a kol.: Metody oceňování podniku pro pokročilé
Ekopress 2023&amp;R&amp;"Arial CE,Obyčejné"&amp;10Příklad: Vzájemná shoda metod DCF a EVA</oddHeader>
    <oddFooter>&amp;C&amp;"Arial CE,Obyčejné"&amp;10&amp;A - str. &amp;P&amp;R&amp;"Arial CE,Obyčejné"&amp;10©  Miloš Mařík, Pavla Maříková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indexed="43"/>
    <pageSetUpPr fitToPage="1"/>
  </sheetPr>
  <dimension ref="A1:I62"/>
  <sheetViews>
    <sheetView showGridLines="0" workbookViewId="0"/>
  </sheetViews>
  <sheetFormatPr defaultRowHeight="15.75" x14ac:dyDescent="0.25"/>
  <cols>
    <col min="1" max="1" width="40.625" customWidth="1"/>
    <col min="2" max="5" width="8.625" customWidth="1"/>
    <col min="6" max="6" width="10" customWidth="1"/>
    <col min="7" max="10" width="8.5" customWidth="1"/>
  </cols>
  <sheetData>
    <row r="1" spans="1:6" ht="18.75" x14ac:dyDescent="0.3">
      <c r="A1" s="554" t="s">
        <v>402</v>
      </c>
      <c r="E1" s="555" t="s">
        <v>290</v>
      </c>
    </row>
    <row r="2" spans="1:6" ht="20.25" customHeight="1" x14ac:dyDescent="0.25">
      <c r="A2" s="3" t="s">
        <v>291</v>
      </c>
    </row>
    <row r="3" spans="1:6" x14ac:dyDescent="0.25">
      <c r="A3" s="130" t="str">
        <f>"Výsledky hospodaření v roce "&amp;FIXED(rok+4,0,1)&amp;" budou stejné jako v roce "&amp;FIXED(rok+3,0,1)&amp;", ale již se v nich"</f>
        <v>Výsledky hospodaření v roce 2026 budou stejné jako v roce 2025, ale již se v nich</v>
      </c>
    </row>
    <row r="4" spans="1:6" x14ac:dyDescent="0.25">
      <c r="A4" s="130" t="s">
        <v>83</v>
      </c>
    </row>
    <row r="5" spans="1:6" x14ac:dyDescent="0.25">
      <c r="A5" s="165" t="s">
        <v>152</v>
      </c>
      <c r="B5" s="164">
        <f>'1 Společné úpravy - WACC'!B6</f>
        <v>0.19</v>
      </c>
      <c r="C5" s="164">
        <f>'1 Společné úpravy - WACC'!C6</f>
        <v>0.19</v>
      </c>
      <c r="D5" s="164">
        <f>'1 Společné úpravy - WACC'!D6</f>
        <v>0.19</v>
      </c>
      <c r="E5" s="164">
        <f>'1 Společné úpravy - WACC'!E6</f>
        <v>0.19</v>
      </c>
    </row>
    <row r="6" spans="1:6" x14ac:dyDescent="0.25">
      <c r="A6" s="134"/>
      <c r="B6" s="332"/>
      <c r="C6" s="332"/>
      <c r="D6" s="332"/>
      <c r="E6" s="332"/>
    </row>
    <row r="7" spans="1:6" x14ac:dyDescent="0.25">
      <c r="A7" s="2" t="s">
        <v>234</v>
      </c>
    </row>
    <row r="8" spans="1:6" ht="31.5" x14ac:dyDescent="0.25">
      <c r="A8" s="301"/>
      <c r="B8" s="302">
        <f>rok+1</f>
        <v>2023</v>
      </c>
      <c r="C8" s="302">
        <f>B8+1</f>
        <v>2024</v>
      </c>
      <c r="D8" s="302">
        <f>C8+1</f>
        <v>2025</v>
      </c>
      <c r="E8" s="300" t="str">
        <f>FIXED(D8+1,0,1)&amp;" 2.fáze"</f>
        <v>2026 2.fáze</v>
      </c>
    </row>
    <row r="9" spans="1:6" x14ac:dyDescent="0.25">
      <c r="A9" s="88" t="s">
        <v>114</v>
      </c>
      <c r="B9" s="133">
        <f>'2 Rezervy - Výsledovka'!C10</f>
        <v>23884.600000000006</v>
      </c>
      <c r="C9" s="133">
        <f>'2 Rezervy - Výsledovka'!D10</f>
        <v>23966</v>
      </c>
      <c r="D9" s="133">
        <f>'2 Rezervy - Výsledovka'!E10</f>
        <v>29477</v>
      </c>
      <c r="E9" s="133">
        <f>'2 Rezervy - Výsledovka'!E10+'2 Rezervy - Výsledovka'!E8</f>
        <v>29477</v>
      </c>
    </row>
    <row r="10" spans="1:6" x14ac:dyDescent="0.25">
      <c r="A10" s="176" t="s">
        <v>169</v>
      </c>
      <c r="B10" s="166">
        <f>'2 Rezervy - Výsledovka'!C8</f>
        <v>100</v>
      </c>
      <c r="C10" s="166">
        <f>'2 Rezervy - Výsledovka'!D8</f>
        <v>-500</v>
      </c>
      <c r="D10" s="166">
        <f>'2 Rezervy - Výsledovka'!E8</f>
        <v>0</v>
      </c>
      <c r="E10" s="136">
        <v>0</v>
      </c>
    </row>
    <row r="11" spans="1:6" x14ac:dyDescent="0.25">
      <c r="A11" s="176" t="s">
        <v>168</v>
      </c>
      <c r="B11" s="166">
        <f>'4 Goodwill - příprava'!P11</f>
        <v>500</v>
      </c>
      <c r="C11" s="166">
        <f>'4 Goodwill - příprava'!Q11</f>
        <v>500</v>
      </c>
      <c r="D11" s="136">
        <v>0</v>
      </c>
      <c r="E11" s="136">
        <v>0</v>
      </c>
    </row>
    <row r="12" spans="1:6" x14ac:dyDescent="0.25">
      <c r="A12" s="370" t="s">
        <v>200</v>
      </c>
      <c r="B12" s="166">
        <f>'3 Marketing - příprava'!C11</f>
        <v>3600</v>
      </c>
      <c r="C12" s="136">
        <f>'3 Marketing - příprava'!D11</f>
        <v>0</v>
      </c>
      <c r="D12" s="136">
        <f>'3 Marketing - příprava'!E11</f>
        <v>0</v>
      </c>
      <c r="E12" s="136">
        <v>0</v>
      </c>
    </row>
    <row r="13" spans="1:6" x14ac:dyDescent="0.25">
      <c r="A13" s="371" t="s">
        <v>201</v>
      </c>
      <c r="B13" s="133">
        <f>-'3 Marketing - příprava'!C14</f>
        <v>-2030</v>
      </c>
      <c r="C13" s="81">
        <f>-'3 Marketing - příprava'!D14</f>
        <v>-2030</v>
      </c>
      <c r="D13" s="81">
        <f>-'3 Marketing - příprava'!E14</f>
        <v>-1200</v>
      </c>
      <c r="E13" s="81">
        <v>0</v>
      </c>
    </row>
    <row r="14" spans="1:6" x14ac:dyDescent="0.25">
      <c r="A14" s="89" t="s">
        <v>249</v>
      </c>
      <c r="B14" s="167">
        <f>SUM(B9:B13)</f>
        <v>26054.600000000006</v>
      </c>
      <c r="C14" s="167">
        <f>SUM(C9:C13)</f>
        <v>21936</v>
      </c>
      <c r="D14" s="167">
        <f>SUM(D9:D13)</f>
        <v>28277</v>
      </c>
      <c r="E14" s="167">
        <f>SUM(E9:E13)</f>
        <v>29477</v>
      </c>
    </row>
    <row r="15" spans="1:6" x14ac:dyDescent="0.25">
      <c r="A15" s="88" t="s">
        <v>84</v>
      </c>
      <c r="B15" s="133">
        <f>'1 Společné úpravy - Hodnota'!B10</f>
        <v>4557.0740000000014</v>
      </c>
      <c r="C15" s="133">
        <f>'1 Společné úpravy - Hodnota'!C10</f>
        <v>4458.54</v>
      </c>
      <c r="D15" s="133">
        <f>'1 Společné úpravy - Hodnota'!D10</f>
        <v>5600.63</v>
      </c>
      <c r="E15" s="133">
        <f>'1 Společné úpravy - Hodnota'!E10</f>
        <v>5600.63</v>
      </c>
      <c r="F15" s="205"/>
    </row>
    <row r="16" spans="1:6" x14ac:dyDescent="0.25">
      <c r="A16" s="303" t="s">
        <v>248</v>
      </c>
      <c r="B16" s="304">
        <f>B14-B15</f>
        <v>21497.526000000005</v>
      </c>
      <c r="C16" s="305">
        <f>C14-C15</f>
        <v>17477.46</v>
      </c>
      <c r="D16" s="305">
        <f>D14-D15</f>
        <v>22676.37</v>
      </c>
      <c r="E16" s="305">
        <f>E14-E15</f>
        <v>23876.37</v>
      </c>
      <c r="F16" s="205"/>
    </row>
    <row r="17" spans="1:6" x14ac:dyDescent="0.25">
      <c r="B17" s="108"/>
      <c r="F17" s="205"/>
    </row>
    <row r="18" spans="1:6" x14ac:dyDescent="0.25">
      <c r="A18" s="2" t="s">
        <v>235</v>
      </c>
      <c r="F18" s="205"/>
    </row>
    <row r="19" spans="1:6" ht="31.5" x14ac:dyDescent="0.25">
      <c r="A19" s="301"/>
      <c r="B19" s="302">
        <f>rok+1</f>
        <v>2023</v>
      </c>
      <c r="C19" s="302">
        <f>B19+1</f>
        <v>2024</v>
      </c>
      <c r="D19" s="302">
        <f>C19+1</f>
        <v>2025</v>
      </c>
      <c r="E19" s="300" t="str">
        <f>FIXED(D19+1,0,1)&amp;" 2.fáze"</f>
        <v>2026 2.fáze</v>
      </c>
      <c r="F19" s="205"/>
    </row>
    <row r="20" spans="1:6" x14ac:dyDescent="0.25">
      <c r="A20" s="88" t="s">
        <v>114</v>
      </c>
      <c r="B20" s="133">
        <f>'2 Rezervy - Výsledovka'!C10</f>
        <v>23884.600000000006</v>
      </c>
      <c r="C20" s="133">
        <f>'2 Rezervy - Výsledovka'!D10</f>
        <v>23966</v>
      </c>
      <c r="D20" s="133">
        <f>'2 Rezervy - Výsledovka'!E10</f>
        <v>29477</v>
      </c>
      <c r="E20" s="81">
        <f>D20</f>
        <v>29477</v>
      </c>
      <c r="F20" s="205"/>
    </row>
    <row r="21" spans="1:6" x14ac:dyDescent="0.25">
      <c r="A21" s="176" t="s">
        <v>168</v>
      </c>
      <c r="B21" s="166">
        <f>'4 Goodwill - příprava'!P11</f>
        <v>500</v>
      </c>
      <c r="C21" s="166">
        <f>'4 Goodwill - příprava'!Q11</f>
        <v>500</v>
      </c>
      <c r="D21" s="166">
        <v>0</v>
      </c>
      <c r="E21" s="136">
        <v>0</v>
      </c>
      <c r="F21" s="205"/>
    </row>
    <row r="22" spans="1:6" x14ac:dyDescent="0.25">
      <c r="A22" s="135" t="str">
        <f>A12</f>
        <v>Marketing – původní výdaj vrácený k zisku</v>
      </c>
      <c r="B22" s="166">
        <f>'3 Marketing - příprava'!C11</f>
        <v>3600</v>
      </c>
      <c r="C22" s="166">
        <f>'3 Marketing - příprava'!D11</f>
        <v>0</v>
      </c>
      <c r="D22" s="166">
        <f>'3 Marketing - příprava'!E11</f>
        <v>0</v>
      </c>
      <c r="E22" s="136">
        <v>0</v>
      </c>
      <c r="F22" s="205"/>
    </row>
    <row r="23" spans="1:6" x14ac:dyDescent="0.25">
      <c r="A23" s="88" t="str">
        <f>A13</f>
        <v>Marketing – odpisy započítaný nově do nákladů</v>
      </c>
      <c r="B23" s="133">
        <f>-'3 Marketing - příprava'!C14</f>
        <v>-2030</v>
      </c>
      <c r="C23" s="133">
        <f>-'3 Marketing - příprava'!D14</f>
        <v>-2030</v>
      </c>
      <c r="D23" s="133">
        <f>-'3 Marketing - příprava'!E14</f>
        <v>-1200</v>
      </c>
      <c r="E23" s="81">
        <v>0</v>
      </c>
      <c r="F23" s="205"/>
    </row>
    <row r="24" spans="1:6" x14ac:dyDescent="0.25">
      <c r="A24" s="89" t="s">
        <v>101</v>
      </c>
      <c r="B24" s="167">
        <f>SUM(B20:B23)</f>
        <v>25954.600000000006</v>
      </c>
      <c r="C24" s="167">
        <f>SUM(C20:C23)</f>
        <v>22436</v>
      </c>
      <c r="D24" s="167">
        <f>SUM(D20:D23)</f>
        <v>28277</v>
      </c>
      <c r="E24" s="167">
        <f>SUM(E20:E23)</f>
        <v>29477</v>
      </c>
      <c r="F24" s="205"/>
    </row>
    <row r="25" spans="1:6" x14ac:dyDescent="0.25">
      <c r="A25" s="88" t="s">
        <v>84</v>
      </c>
      <c r="B25" s="133">
        <f>'1 Společné úpravy - Hodnota'!B10</f>
        <v>4557.0740000000014</v>
      </c>
      <c r="C25" s="133">
        <f>'1 Společné úpravy - Hodnota'!C10</f>
        <v>4458.54</v>
      </c>
      <c r="D25" s="133">
        <f>'1 Společné úpravy - Hodnota'!D10</f>
        <v>5600.63</v>
      </c>
      <c r="E25" s="133">
        <f>'1 Společné úpravy - Hodnota'!E10</f>
        <v>5600.63</v>
      </c>
      <c r="F25" s="205"/>
    </row>
    <row r="26" spans="1:6" x14ac:dyDescent="0.25">
      <c r="A26" s="303" t="s">
        <v>155</v>
      </c>
      <c r="B26" s="304">
        <f>B24-B25</f>
        <v>21397.526000000005</v>
      </c>
      <c r="C26" s="305">
        <f>C24-C25</f>
        <v>17977.46</v>
      </c>
      <c r="D26" s="305">
        <f>D24-D25</f>
        <v>22676.37</v>
      </c>
      <c r="E26" s="305">
        <f>E24-E25</f>
        <v>23876.37</v>
      </c>
      <c r="F26" s="205"/>
    </row>
    <row r="27" spans="1:6" x14ac:dyDescent="0.25">
      <c r="B27" s="108"/>
    </row>
    <row r="28" spans="1:6" x14ac:dyDescent="0.25">
      <c r="A28" s="3" t="s">
        <v>292</v>
      </c>
    </row>
    <row r="30" spans="1:6" x14ac:dyDescent="0.25">
      <c r="A30" s="2" t="s">
        <v>85</v>
      </c>
      <c r="C30" s="108"/>
    </row>
    <row r="31" spans="1:6" ht="31.5" x14ac:dyDescent="0.25">
      <c r="A31" s="301"/>
      <c r="B31" s="302">
        <f>rok+1</f>
        <v>2023</v>
      </c>
      <c r="C31" s="302">
        <f>B31+1</f>
        <v>2024</v>
      </c>
      <c r="D31" s="302">
        <f>C31+1</f>
        <v>2025</v>
      </c>
      <c r="E31" s="300" t="str">
        <f>FIXED(D31+1,0,1)&amp;" 2.fáze"</f>
        <v>2026 2.fáze</v>
      </c>
    </row>
    <row r="32" spans="1:6" x14ac:dyDescent="0.25">
      <c r="A32" s="169" t="s">
        <v>109</v>
      </c>
      <c r="B32" s="41">
        <f>B16</f>
        <v>21497.526000000005</v>
      </c>
      <c r="C32" s="41">
        <f>C16</f>
        <v>17477.46</v>
      </c>
      <c r="D32" s="41">
        <f>D16</f>
        <v>22676.37</v>
      </c>
      <c r="E32" s="41">
        <f>E16</f>
        <v>23876.37</v>
      </c>
    </row>
    <row r="33" spans="1:7" x14ac:dyDescent="0.25">
      <c r="A33" s="74" t="s">
        <v>82</v>
      </c>
      <c r="B33" s="175">
        <f ca="1">'5 Leasing - WACC před leas. '!B28</f>
        <v>0.12404494414210494</v>
      </c>
      <c r="C33" s="175">
        <f ca="1">'5 Leasing - WACC před leas. '!C28</f>
        <v>0.12409951674967841</v>
      </c>
      <c r="D33" s="175">
        <f ca="1">'5 Leasing - WACC před leas. '!D28</f>
        <v>0.12430359500920611</v>
      </c>
      <c r="E33" s="175">
        <f ca="1">'5 Leasing - WACC před leas. '!E28</f>
        <v>0.12436540521110813</v>
      </c>
    </row>
    <row r="34" spans="1:7" x14ac:dyDescent="0.25">
      <c r="A34" s="74" t="s">
        <v>153</v>
      </c>
      <c r="B34" s="124">
        <f>'4 Goodwill - NOA'!G23</f>
        <v>75633.600000000006</v>
      </c>
      <c r="C34" s="124">
        <f>'4 Goodwill - NOA'!H23</f>
        <v>85435.799999999988</v>
      </c>
      <c r="D34" s="124">
        <f>'4 Goodwill - NOA'!I23</f>
        <v>91398.399999999994</v>
      </c>
      <c r="E34" s="124">
        <f>'4 Goodwill - NOA'!J23</f>
        <v>92552.400000000023</v>
      </c>
    </row>
    <row r="35" spans="1:7" x14ac:dyDescent="0.25">
      <c r="A35" s="107" t="s">
        <v>237</v>
      </c>
      <c r="B35" s="133">
        <f ca="1">B33*B34</f>
        <v>9381.965687266309</v>
      </c>
      <c r="C35" s="133">
        <f ca="1">C33*C34</f>
        <v>10602.541493122173</v>
      </c>
      <c r="D35" s="133">
        <f ca="1">D33*D34</f>
        <v>11361.149698089423</v>
      </c>
      <c r="E35" s="133">
        <f ca="1">E33*E34</f>
        <v>11510.316729260567</v>
      </c>
    </row>
    <row r="36" spans="1:7" x14ac:dyDescent="0.25">
      <c r="A36" s="303" t="s">
        <v>86</v>
      </c>
      <c r="B36" s="304">
        <f ca="1">B32-B35</f>
        <v>12115.560312733696</v>
      </c>
      <c r="C36" s="304">
        <f ca="1">C32-C35</f>
        <v>6874.9185068778261</v>
      </c>
      <c r="D36" s="304">
        <f ca="1">D32-D35</f>
        <v>11315.220301910576</v>
      </c>
      <c r="E36" s="304">
        <f ca="1">E32-E35</f>
        <v>12366.053270739432</v>
      </c>
    </row>
    <row r="38" spans="1:7" x14ac:dyDescent="0.25">
      <c r="A38" s="2" t="s">
        <v>90</v>
      </c>
    </row>
    <row r="39" spans="1:7" ht="31.5" x14ac:dyDescent="0.25">
      <c r="A39" s="301"/>
      <c r="B39" s="302">
        <f>rok+1</f>
        <v>2023</v>
      </c>
      <c r="C39" s="302">
        <f>B39+1</f>
        <v>2024</v>
      </c>
      <c r="D39" s="302">
        <f>C39+1</f>
        <v>2025</v>
      </c>
      <c r="E39" s="300" t="str">
        <f>FIXED(D39+1,0,1)&amp;" 2.fáze"</f>
        <v>2026 2.fáze</v>
      </c>
    </row>
    <row r="40" spans="1:7" x14ac:dyDescent="0.25">
      <c r="A40" s="87" t="s">
        <v>82</v>
      </c>
      <c r="B40" s="391">
        <f ca="1">'5 Leasing - WACC před leas. '!B28</f>
        <v>0.12404494414210494</v>
      </c>
      <c r="C40" s="391">
        <f ca="1">'5 Leasing - WACC před leas. '!C28</f>
        <v>0.12409951674967841</v>
      </c>
      <c r="D40" s="391">
        <f ca="1">'5 Leasing - WACC před leas. '!D28</f>
        <v>0.12430359500920611</v>
      </c>
      <c r="E40" s="391">
        <f ca="1">'5 Leasing - WACC před leas. '!E28</f>
        <v>0.12436540521110813</v>
      </c>
    </row>
    <row r="41" spans="1:7" x14ac:dyDescent="0.25">
      <c r="A41" s="78" t="s">
        <v>88</v>
      </c>
      <c r="B41" s="81">
        <f ca="1">B36</f>
        <v>12115.560312733696</v>
      </c>
      <c r="C41" s="81">
        <f ca="1">C36</f>
        <v>6874.9185068778261</v>
      </c>
      <c r="D41" s="81">
        <f ca="1">D36</f>
        <v>11315.220301910576</v>
      </c>
      <c r="E41" s="81">
        <f ca="1">E36</f>
        <v>12366.053270739432</v>
      </c>
    </row>
    <row r="42" spans="1:7" x14ac:dyDescent="0.25">
      <c r="A42" s="477" t="s">
        <v>181</v>
      </c>
      <c r="B42" s="478">
        <f ca="1">(C42+B41)/(1+B40)</f>
        <v>94178.423700987492</v>
      </c>
      <c r="C42" s="405">
        <f ca="1">(D42+C41)/(1+C40)</f>
        <v>93745.220695634285</v>
      </c>
      <c r="D42" s="405">
        <f ca="1">(E42+D41)/(1+D40)</f>
        <v>98504.038774676606</v>
      </c>
      <c r="E42" s="405">
        <f ca="1">E41/E40</f>
        <v>99433.224615384563</v>
      </c>
    </row>
    <row r="43" spans="1:7" x14ac:dyDescent="0.25">
      <c r="A43" s="466" t="s">
        <v>180</v>
      </c>
      <c r="B43" s="467">
        <f>B34</f>
        <v>75633.600000000006</v>
      </c>
      <c r="C43" s="133">
        <f t="shared" ref="C43:E43" si="0">C34</f>
        <v>85435.799999999988</v>
      </c>
      <c r="D43" s="133">
        <f t="shared" si="0"/>
        <v>91398.399999999994</v>
      </c>
      <c r="E43" s="133">
        <f t="shared" si="0"/>
        <v>92552.400000000023</v>
      </c>
      <c r="F43" s="108"/>
    </row>
    <row r="44" spans="1:7" x14ac:dyDescent="0.25">
      <c r="A44" s="103" t="s">
        <v>182</v>
      </c>
      <c r="B44" s="82">
        <f ca="1">B42+B43</f>
        <v>169812.02370098751</v>
      </c>
      <c r="C44" s="82">
        <f ca="1">C42+C43</f>
        <v>179181.02069563427</v>
      </c>
      <c r="D44" s="82">
        <f ca="1">D42+D43</f>
        <v>189902.43877467659</v>
      </c>
      <c r="E44" s="82">
        <f ca="1">E42+E43</f>
        <v>191985.62461538459</v>
      </c>
    </row>
    <row r="45" spans="1:7" x14ac:dyDescent="0.25">
      <c r="A45" s="78" t="s">
        <v>183</v>
      </c>
      <c r="B45" s="81">
        <f>'5 Leasing - WACC před leas. '!B10</f>
        <v>36773</v>
      </c>
      <c r="C45" s="81">
        <f>'5 Leasing - WACC před leas. '!C10</f>
        <v>41307</v>
      </c>
      <c r="D45" s="81">
        <f>'5 Leasing - WACC před leas. '!D10</f>
        <v>43796</v>
      </c>
      <c r="E45" s="81">
        <f>'5 Leasing - WACC před leas. '!E10</f>
        <v>43796</v>
      </c>
      <c r="F45" s="108"/>
      <c r="G45" s="108"/>
    </row>
    <row r="46" spans="1:7" x14ac:dyDescent="0.25">
      <c r="A46" s="392" t="s">
        <v>184</v>
      </c>
      <c r="B46" s="393">
        <f ca="1">B44-B45</f>
        <v>133039.02370098751</v>
      </c>
      <c r="C46" s="393">
        <f ca="1">C44-C45</f>
        <v>137874.02069563427</v>
      </c>
      <c r="D46" s="393">
        <f ca="1">D44-D45</f>
        <v>146106.43877467659</v>
      </c>
      <c r="E46" s="393">
        <f ca="1">E44-E45</f>
        <v>148189.62461538459</v>
      </c>
    </row>
    <row r="47" spans="1:7" x14ac:dyDescent="0.25">
      <c r="A47" s="78" t="s">
        <v>98</v>
      </c>
      <c r="B47" s="81">
        <f>'4 Goodwill - NOA'!G19</f>
        <v>33629.003499999999</v>
      </c>
      <c r="C47" s="108"/>
      <c r="D47" s="108"/>
      <c r="E47" s="108"/>
      <c r="G47" s="108"/>
    </row>
    <row r="48" spans="1:7" x14ac:dyDescent="0.25">
      <c r="A48" s="306" t="s">
        <v>199</v>
      </c>
      <c r="B48" s="307">
        <f ca="1">B46+B47</f>
        <v>166668.0272009875</v>
      </c>
      <c r="C48" s="209"/>
      <c r="D48" s="209"/>
      <c r="E48" s="209"/>
      <c r="F48" s="198"/>
    </row>
    <row r="50" spans="1:9" x14ac:dyDescent="0.25">
      <c r="A50" s="3" t="s">
        <v>293</v>
      </c>
    </row>
    <row r="51" spans="1:9" x14ac:dyDescent="0.25">
      <c r="A51" s="2"/>
    </row>
    <row r="52" spans="1:9" ht="31.5" x14ac:dyDescent="0.25">
      <c r="A52" s="301"/>
      <c r="B52" s="302">
        <f>rok+1</f>
        <v>2023</v>
      </c>
      <c r="C52" s="302">
        <f>B52+1</f>
        <v>2024</v>
      </c>
      <c r="D52" s="302">
        <f>C52+1</f>
        <v>2025</v>
      </c>
      <c r="E52" s="300" t="str">
        <f>FIXED(D52+1,0,1)&amp;" 2.fáze"</f>
        <v>2026 2.fáze</v>
      </c>
      <c r="F52" s="197"/>
      <c r="G52" s="197"/>
      <c r="H52" s="197"/>
      <c r="I52" s="197"/>
    </row>
    <row r="53" spans="1:9" x14ac:dyDescent="0.25">
      <c r="A53" s="87" t="s">
        <v>141</v>
      </c>
      <c r="B53" s="136">
        <f>B26</f>
        <v>21397.526000000005</v>
      </c>
      <c r="C53" s="136">
        <f>C26</f>
        <v>17977.46</v>
      </c>
      <c r="D53" s="136">
        <f>D26</f>
        <v>22676.37</v>
      </c>
      <c r="E53" s="136">
        <f>E26</f>
        <v>23876.37</v>
      </c>
      <c r="F53" s="196"/>
      <c r="G53" s="196"/>
      <c r="H53" s="196"/>
      <c r="I53" s="196"/>
    </row>
    <row r="54" spans="1:9" x14ac:dyDescent="0.25">
      <c r="A54" s="77" t="s">
        <v>142</v>
      </c>
      <c r="B54" s="79">
        <f>'4 Goodwill - NOA'!H7-'4 Goodwill - NOA'!G7</f>
        <v>100</v>
      </c>
      <c r="C54" s="79">
        <f>'4 Goodwill - NOA'!I7-'4 Goodwill - NOA'!H7</f>
        <v>-500</v>
      </c>
      <c r="D54" s="79">
        <f>'4 Goodwill - NOA'!J7-'4 Goodwill - NOA'!I7</f>
        <v>0</v>
      </c>
      <c r="E54" s="79">
        <v>0</v>
      </c>
      <c r="F54" s="197"/>
      <c r="G54" s="197"/>
      <c r="H54" s="197"/>
      <c r="I54" s="197"/>
    </row>
    <row r="55" spans="1:9" x14ac:dyDescent="0.25">
      <c r="A55" s="78" t="s">
        <v>110</v>
      </c>
      <c r="B55" s="81">
        <f>-('4 Goodwill - NOA'!H23-'4 Goodwill - NOA'!G23)</f>
        <v>-9802.1999999999825</v>
      </c>
      <c r="C55" s="81">
        <f>-('4 Goodwill - NOA'!I23-'4 Goodwill - NOA'!H23)</f>
        <v>-5962.6000000000058</v>
      </c>
      <c r="D55" s="81">
        <f>-('4 Goodwill - NOA'!J23-'4 Goodwill - NOA'!I23)</f>
        <v>-1154.0000000000291</v>
      </c>
      <c r="E55" s="81">
        <v>0</v>
      </c>
      <c r="F55" s="196"/>
      <c r="G55" s="196"/>
      <c r="H55" s="196"/>
      <c r="I55" s="196"/>
    </row>
    <row r="56" spans="1:9" x14ac:dyDescent="0.25">
      <c r="A56" s="389" t="s">
        <v>111</v>
      </c>
      <c r="B56" s="305">
        <f>SUM(B53:B55)</f>
        <v>11695.326000000023</v>
      </c>
      <c r="C56" s="305">
        <f>SUM(C53:C55)</f>
        <v>11514.859999999993</v>
      </c>
      <c r="D56" s="305">
        <f>SUM(D53:D55)</f>
        <v>21522.36999999997</v>
      </c>
      <c r="E56" s="305">
        <f>SUM(E53:E55)</f>
        <v>23876.37</v>
      </c>
    </row>
    <row r="57" spans="1:9" x14ac:dyDescent="0.25">
      <c r="A57" s="78" t="s">
        <v>82</v>
      </c>
      <c r="B57" s="170">
        <f ca="1">'5 Leasing - WACC před leas. '!B28</f>
        <v>0.12404494414210494</v>
      </c>
      <c r="C57" s="170">
        <f ca="1">'5 Leasing - WACC před leas. '!C28</f>
        <v>0.12409951674967841</v>
      </c>
      <c r="D57" s="170">
        <f ca="1">'5 Leasing - WACC před leas. '!D28</f>
        <v>0.12430359500920611</v>
      </c>
      <c r="E57" s="170">
        <f ca="1">'5 Leasing - WACC před leas. '!E28</f>
        <v>0.12436540521110813</v>
      </c>
    </row>
    <row r="58" spans="1:9" x14ac:dyDescent="0.25">
      <c r="A58" s="78" t="s">
        <v>185</v>
      </c>
      <c r="B58" s="80">
        <f ca="1">(B56+C58)/(1+B57)</f>
        <v>169812.02370098748</v>
      </c>
      <c r="C58" s="80">
        <f ca="1">(C56+D58)/(1+C57)</f>
        <v>179181.02069563424</v>
      </c>
      <c r="D58" s="80">
        <f ca="1">(D56+E58)/(1+D57)</f>
        <v>189902.43877467659</v>
      </c>
      <c r="E58" s="80">
        <f ca="1">E56/E57</f>
        <v>191985.62461538459</v>
      </c>
    </row>
    <row r="59" spans="1:9" x14ac:dyDescent="0.25">
      <c r="A59" s="78" t="s">
        <v>183</v>
      </c>
      <c r="B59" s="81">
        <f>'5 Leasing - WACC před leas. '!B10</f>
        <v>36773</v>
      </c>
      <c r="C59" s="81">
        <f>'5 Leasing - WACC před leas. '!C10</f>
        <v>41307</v>
      </c>
      <c r="D59" s="81">
        <f>'5 Leasing - WACC před leas. '!D10</f>
        <v>43796</v>
      </c>
      <c r="E59" s="81">
        <f>'5 Leasing - WACC před leas. '!E10</f>
        <v>43796</v>
      </c>
    </row>
    <row r="60" spans="1:9" x14ac:dyDescent="0.25">
      <c r="A60" s="392" t="s">
        <v>184</v>
      </c>
      <c r="B60" s="393">
        <f ca="1">B58-B59</f>
        <v>133039.02370098748</v>
      </c>
      <c r="C60" s="393">
        <f ca="1">C58-C59</f>
        <v>137874.02069563424</v>
      </c>
      <c r="D60" s="393">
        <f ca="1">D58-D59</f>
        <v>146106.43877467659</v>
      </c>
      <c r="E60" s="393">
        <f ca="1">E58-E59</f>
        <v>148189.62461538459</v>
      </c>
    </row>
    <row r="61" spans="1:9" x14ac:dyDescent="0.25">
      <c r="A61" s="78" t="s">
        <v>98</v>
      </c>
      <c r="B61" s="81">
        <f>'4 Goodwill - NOA'!G19</f>
        <v>33629.003499999999</v>
      </c>
    </row>
    <row r="62" spans="1:9" x14ac:dyDescent="0.25">
      <c r="A62" s="306" t="s">
        <v>199</v>
      </c>
      <c r="B62" s="307">
        <f ca="1">B60+B61</f>
        <v>166668.02720098748</v>
      </c>
      <c r="C62" s="199"/>
    </row>
  </sheetData>
  <phoneticPr fontId="0" type="noConversion"/>
  <hyperlinks>
    <hyperlink ref="E1" location="Obsah!A1" display="Skok na obsah" xr:uid="{00000000-0004-0000-1700-000000000000}"/>
  </hyperlinks>
  <printOptions gridLinesSet="0"/>
  <pageMargins left="0.78740157480314965" right="0.78740157480314965" top="0.98425196850393704" bottom="0.78740157480314965" header="0.51181102362204722" footer="0.51181102362204722"/>
  <pageSetup paperSize="9" scale="70" orientation="portrait" r:id="rId1"/>
  <headerFooter alignWithMargins="0">
    <oddHeader>&amp;L&amp;"Arial CE,Obyčejné"&amp;10Mařík, M. a kol.: Metody oceňování podniku pro pokročilé
Ekopress 2023&amp;R&amp;"Arial CE,Obyčejné"&amp;10Příklad: Vzájemná shoda metod DCF a EVA</oddHeader>
    <oddFooter>&amp;C&amp;"Arial CE,Obyčejné"&amp;10&amp;A - str. &amp;P&amp;R&amp;"Arial CE,Obyčejné"&amp;10©  Miloš Mařík, Pavla Maříková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indexed="43"/>
    <pageSetUpPr fitToPage="1"/>
  </sheetPr>
  <dimension ref="A1:N76"/>
  <sheetViews>
    <sheetView showGridLines="0" workbookViewId="0"/>
  </sheetViews>
  <sheetFormatPr defaultRowHeight="15.75" x14ac:dyDescent="0.25"/>
  <cols>
    <col min="1" max="1" width="40.625" customWidth="1"/>
    <col min="2" max="5" width="8.625" customWidth="1"/>
    <col min="6" max="6" width="8.5" customWidth="1"/>
    <col min="7" max="7" width="11.875" customWidth="1"/>
    <col min="8" max="8" width="10.375" customWidth="1"/>
    <col min="9" max="10" width="8.5" customWidth="1"/>
  </cols>
  <sheetData>
    <row r="1" spans="1:5" ht="18.75" x14ac:dyDescent="0.3">
      <c r="A1" s="554" t="s">
        <v>402</v>
      </c>
      <c r="E1" s="555" t="s">
        <v>290</v>
      </c>
    </row>
    <row r="2" spans="1:5" ht="20.25" customHeight="1" x14ac:dyDescent="0.25">
      <c r="A2" s="3" t="s">
        <v>291</v>
      </c>
    </row>
    <row r="3" spans="1:5" x14ac:dyDescent="0.25">
      <c r="A3" s="130" t="str">
        <f>"Výsledky hospodaření v roce "&amp;FIXED(rok+4,0,1)&amp;" budou stejné jako v roce "&amp;FIXED(rok+3,0,1)&amp;", ale již se v nich"</f>
        <v>Výsledky hospodaření v roce 2026 budou stejné jako v roce 2025, ale již se v nich</v>
      </c>
    </row>
    <row r="4" spans="1:5" x14ac:dyDescent="0.25">
      <c r="A4" s="130" t="s">
        <v>83</v>
      </c>
    </row>
    <row r="5" spans="1:5" x14ac:dyDescent="0.25">
      <c r="A5" s="165" t="s">
        <v>152</v>
      </c>
      <c r="B5" s="164">
        <f>'1 Společné úpravy - WACC'!B6</f>
        <v>0.19</v>
      </c>
      <c r="C5" s="164">
        <f>'1 Společné úpravy - WACC'!C6</f>
        <v>0.19</v>
      </c>
      <c r="D5" s="164">
        <f>'1 Společné úpravy - WACC'!D6</f>
        <v>0.19</v>
      </c>
      <c r="E5" s="164">
        <f>'1 Společné úpravy - WACC'!E6</f>
        <v>0.19</v>
      </c>
    </row>
    <row r="6" spans="1:5" x14ac:dyDescent="0.25">
      <c r="A6" s="134"/>
      <c r="B6" s="332"/>
      <c r="C6" s="332"/>
      <c r="D6" s="332"/>
      <c r="E6" s="332"/>
    </row>
    <row r="7" spans="1:5" x14ac:dyDescent="0.25">
      <c r="A7" s="2" t="s">
        <v>253</v>
      </c>
    </row>
    <row r="8" spans="1:5" ht="31.5" x14ac:dyDescent="0.25">
      <c r="A8" s="301"/>
      <c r="B8" s="302">
        <f>rok+1</f>
        <v>2023</v>
      </c>
      <c r="C8" s="302">
        <f>B8+1</f>
        <v>2024</v>
      </c>
      <c r="D8" s="302">
        <f>C8+1</f>
        <v>2025</v>
      </c>
      <c r="E8" s="300" t="str">
        <f>FIXED(D8+1,0,1)&amp;" 2.fáze"</f>
        <v>2026 2.fáze</v>
      </c>
    </row>
    <row r="9" spans="1:5" x14ac:dyDescent="0.25">
      <c r="A9" s="88" t="s">
        <v>114</v>
      </c>
      <c r="B9" s="133">
        <f>'2 Rezervy - Výsledovka'!C10</f>
        <v>23884.600000000006</v>
      </c>
      <c r="C9" s="133">
        <f>'2 Rezervy - Výsledovka'!D10</f>
        <v>23966</v>
      </c>
      <c r="D9" s="133">
        <f>'2 Rezervy - Výsledovka'!E10</f>
        <v>29477</v>
      </c>
      <c r="E9" s="133">
        <f>'2 Rezervy - Výsledovka'!E10+'2 Rezervy - Výsledovka'!E8</f>
        <v>29477</v>
      </c>
    </row>
    <row r="10" spans="1:5" x14ac:dyDescent="0.25">
      <c r="A10" s="176" t="s">
        <v>169</v>
      </c>
      <c r="B10" s="166">
        <f>'2 Rezervy - Výsledovka'!C8</f>
        <v>100</v>
      </c>
      <c r="C10" s="166">
        <f>'2 Rezervy - Výsledovka'!D8</f>
        <v>-500</v>
      </c>
      <c r="D10" s="166">
        <f>'2 Rezervy - Výsledovka'!E8</f>
        <v>0</v>
      </c>
      <c r="E10" s="136">
        <v>0</v>
      </c>
    </row>
    <row r="11" spans="1:5" x14ac:dyDescent="0.25">
      <c r="A11" s="176" t="s">
        <v>168</v>
      </c>
      <c r="B11" s="166">
        <f>'4 Goodwill - příprava'!P11</f>
        <v>500</v>
      </c>
      <c r="C11" s="166">
        <f>'4 Goodwill - příprava'!Q11</f>
        <v>500</v>
      </c>
      <c r="D11" s="136">
        <v>0</v>
      </c>
      <c r="E11" s="136">
        <v>0</v>
      </c>
    </row>
    <row r="12" spans="1:5" x14ac:dyDescent="0.25">
      <c r="A12" s="135" t="s">
        <v>143</v>
      </c>
      <c r="B12" s="166">
        <f>'3 Marketing - příprava'!C11</f>
        <v>3600</v>
      </c>
      <c r="C12" s="136">
        <f>'3 Marketing - příprava'!D11</f>
        <v>0</v>
      </c>
      <c r="D12" s="136">
        <f>'3 Marketing - příprava'!E11</f>
        <v>0</v>
      </c>
      <c r="E12" s="136">
        <v>0</v>
      </c>
    </row>
    <row r="13" spans="1:5" x14ac:dyDescent="0.25">
      <c r="A13" s="88" t="s">
        <v>144</v>
      </c>
      <c r="B13" s="133">
        <f>-'3 Marketing - příprava'!C14</f>
        <v>-2030</v>
      </c>
      <c r="C13" s="81">
        <f>-'3 Marketing - příprava'!D14</f>
        <v>-2030</v>
      </c>
      <c r="D13" s="81">
        <f>-'3 Marketing - příprava'!E14</f>
        <v>-1200</v>
      </c>
      <c r="E13" s="81">
        <v>0</v>
      </c>
    </row>
    <row r="14" spans="1:5" x14ac:dyDescent="0.25">
      <c r="A14" s="89" t="s">
        <v>249</v>
      </c>
      <c r="B14" s="167">
        <f>SUM(B9:B13)</f>
        <v>26054.600000000006</v>
      </c>
      <c r="C14" s="167">
        <f t="shared" ref="C14:E14" si="0">SUM(C9:C13)</f>
        <v>21936</v>
      </c>
      <c r="D14" s="167">
        <f t="shared" si="0"/>
        <v>28277</v>
      </c>
      <c r="E14" s="167">
        <f t="shared" si="0"/>
        <v>29477</v>
      </c>
    </row>
    <row r="15" spans="1:5" x14ac:dyDescent="0.25">
      <c r="A15" s="88" t="s">
        <v>84</v>
      </c>
      <c r="B15" s="133">
        <f>'1 Společné úpravy - Hodnota'!B10</f>
        <v>4557.0740000000014</v>
      </c>
      <c r="C15" s="133">
        <f>'1 Společné úpravy - Hodnota'!C10</f>
        <v>4458.54</v>
      </c>
      <c r="D15" s="133">
        <f>'1 Společné úpravy - Hodnota'!D10</f>
        <v>5600.63</v>
      </c>
      <c r="E15" s="133">
        <f>'1 Společné úpravy - Hodnota'!E10</f>
        <v>5600.63</v>
      </c>
    </row>
    <row r="16" spans="1:5" x14ac:dyDescent="0.25">
      <c r="A16" s="201" t="s">
        <v>248</v>
      </c>
      <c r="B16" s="83">
        <f>B14-B15</f>
        <v>21497.526000000005</v>
      </c>
      <c r="C16" s="80">
        <f>C14-C15</f>
        <v>17477.46</v>
      </c>
      <c r="D16" s="80">
        <f>D14-D15</f>
        <v>22676.37</v>
      </c>
      <c r="E16" s="80">
        <f>E14-E15</f>
        <v>23876.37</v>
      </c>
    </row>
    <row r="17" spans="1:5" x14ac:dyDescent="0.25">
      <c r="A17" s="203" t="s">
        <v>275</v>
      </c>
      <c r="B17" s="166">
        <f>'2 Rezervy - Výsledovka'!C12*(1-B5)</f>
        <v>1424.5065000000002</v>
      </c>
      <c r="C17" s="166">
        <f>'2 Rezervy - Výsledovka'!D12*(1-C5)</f>
        <v>1608.1335000000001</v>
      </c>
      <c r="D17" s="166">
        <f>'2 Rezervy - Výsledovka'!E12*(1-D5)</f>
        <v>1708.9380000000003</v>
      </c>
      <c r="E17" s="166">
        <f>D17</f>
        <v>1708.9380000000003</v>
      </c>
    </row>
    <row r="18" spans="1:5" x14ac:dyDescent="0.25">
      <c r="A18" s="394" t="s">
        <v>175</v>
      </c>
      <c r="B18" s="395">
        <f>B16-B17</f>
        <v>20073.019500000006</v>
      </c>
      <c r="C18" s="395">
        <f t="shared" ref="C18:E18" si="1">C16-C17</f>
        <v>15869.326499999999</v>
      </c>
      <c r="D18" s="395">
        <f t="shared" si="1"/>
        <v>20967.431999999997</v>
      </c>
      <c r="E18" s="395">
        <f t="shared" si="1"/>
        <v>22167.431999999997</v>
      </c>
    </row>
    <row r="20" spans="1:5" x14ac:dyDescent="0.25">
      <c r="A20" s="2" t="s">
        <v>235</v>
      </c>
    </row>
    <row r="21" spans="1:5" ht="31.5" x14ac:dyDescent="0.25">
      <c r="A21" s="301"/>
      <c r="B21" s="302">
        <f>rok+1</f>
        <v>2023</v>
      </c>
      <c r="C21" s="302">
        <f>B21+1</f>
        <v>2024</v>
      </c>
      <c r="D21" s="302">
        <f>C21+1</f>
        <v>2025</v>
      </c>
      <c r="E21" s="300" t="str">
        <f>FIXED(D21+1,0,1)&amp;" 2.fáze"</f>
        <v>2026 2.fáze</v>
      </c>
    </row>
    <row r="22" spans="1:5" x14ac:dyDescent="0.25">
      <c r="A22" s="88" t="s">
        <v>114</v>
      </c>
      <c r="B22" s="133">
        <f>'2 Rezervy - Výsledovka'!C10</f>
        <v>23884.600000000006</v>
      </c>
      <c r="C22" s="133">
        <f>'2 Rezervy - Výsledovka'!D10</f>
        <v>23966</v>
      </c>
      <c r="D22" s="133">
        <f>'2 Rezervy - Výsledovka'!E10</f>
        <v>29477</v>
      </c>
      <c r="E22" s="81">
        <f>D22</f>
        <v>29477</v>
      </c>
    </row>
    <row r="23" spans="1:5" x14ac:dyDescent="0.25">
      <c r="A23" s="176" t="s">
        <v>168</v>
      </c>
      <c r="B23" s="166">
        <f>'4 Goodwill - příprava'!P11</f>
        <v>500</v>
      </c>
      <c r="C23" s="166">
        <f>'4 Goodwill - příprava'!Q11</f>
        <v>500</v>
      </c>
      <c r="D23" s="166">
        <v>0</v>
      </c>
      <c r="E23" s="136">
        <v>0</v>
      </c>
    </row>
    <row r="24" spans="1:5" x14ac:dyDescent="0.25">
      <c r="A24" s="370" t="s">
        <v>200</v>
      </c>
      <c r="B24" s="166">
        <f>'3 Marketing - příprava'!C11</f>
        <v>3600</v>
      </c>
      <c r="C24" s="166">
        <f>'3 Marketing - příprava'!D11</f>
        <v>0</v>
      </c>
      <c r="D24" s="166">
        <f>'3 Marketing - příprava'!E11</f>
        <v>0</v>
      </c>
      <c r="E24" s="136">
        <v>0</v>
      </c>
    </row>
    <row r="25" spans="1:5" x14ac:dyDescent="0.25">
      <c r="A25" s="371" t="s">
        <v>201</v>
      </c>
      <c r="B25" s="133">
        <f>-'3 Marketing - příprava'!C14</f>
        <v>-2030</v>
      </c>
      <c r="C25" s="133">
        <f>-'3 Marketing - příprava'!D14</f>
        <v>-2030</v>
      </c>
      <c r="D25" s="133">
        <f>-'3 Marketing - příprava'!E14</f>
        <v>-1200</v>
      </c>
      <c r="E25" s="81">
        <v>0</v>
      </c>
    </row>
    <row r="26" spans="1:5" x14ac:dyDescent="0.25">
      <c r="A26" s="89" t="s">
        <v>101</v>
      </c>
      <c r="B26" s="167">
        <f>SUM(B22:B25)</f>
        <v>25954.600000000006</v>
      </c>
      <c r="C26" s="167">
        <f>SUM(C22:C25)</f>
        <v>22436</v>
      </c>
      <c r="D26" s="167">
        <f>SUM(D22:D25)</f>
        <v>28277</v>
      </c>
      <c r="E26" s="167">
        <f>SUM(E22:E25)</f>
        <v>29477</v>
      </c>
    </row>
    <row r="27" spans="1:5" x14ac:dyDescent="0.25">
      <c r="A27" s="88" t="s">
        <v>84</v>
      </c>
      <c r="B27" s="133">
        <f>'1 Společné úpravy - Hodnota'!B10</f>
        <v>4557.0740000000014</v>
      </c>
      <c r="C27" s="133">
        <f>'1 Společné úpravy - Hodnota'!C10</f>
        <v>4458.54</v>
      </c>
      <c r="D27" s="133">
        <f>'1 Společné úpravy - Hodnota'!D10</f>
        <v>5600.63</v>
      </c>
      <c r="E27" s="133">
        <f>'1 Společné úpravy - Hodnota'!E10</f>
        <v>5600.63</v>
      </c>
    </row>
    <row r="28" spans="1:5" x14ac:dyDescent="0.25">
      <c r="A28" s="303" t="s">
        <v>155</v>
      </c>
      <c r="B28" s="304">
        <f>B26-B27</f>
        <v>21397.526000000005</v>
      </c>
      <c r="C28" s="305">
        <f>C26-C27</f>
        <v>17977.46</v>
      </c>
      <c r="D28" s="305">
        <f>D26-D27</f>
        <v>22676.37</v>
      </c>
      <c r="E28" s="305">
        <f>E26-E27</f>
        <v>23876.37</v>
      </c>
    </row>
    <row r="29" spans="1:5" x14ac:dyDescent="0.25">
      <c r="B29" s="108"/>
      <c r="C29" s="108"/>
      <c r="D29" s="108"/>
      <c r="E29" s="108"/>
    </row>
    <row r="30" spans="1:5" x14ac:dyDescent="0.25">
      <c r="A30" s="3" t="s">
        <v>294</v>
      </c>
    </row>
    <row r="32" spans="1:5" x14ac:dyDescent="0.25">
      <c r="A32" s="2" t="s">
        <v>176</v>
      </c>
      <c r="C32" s="108"/>
    </row>
    <row r="33" spans="1:5" ht="31.5" x14ac:dyDescent="0.25">
      <c r="A33" s="301"/>
      <c r="B33" s="302">
        <f>B8</f>
        <v>2023</v>
      </c>
      <c r="C33" s="302">
        <f>C8</f>
        <v>2024</v>
      </c>
      <c r="D33" s="302">
        <f>D8</f>
        <v>2025</v>
      </c>
      <c r="E33" s="300" t="str">
        <f>E8</f>
        <v>2026 2.fáze</v>
      </c>
    </row>
    <row r="34" spans="1:5" x14ac:dyDescent="0.25">
      <c r="A34" s="169" t="s">
        <v>175</v>
      </c>
      <c r="B34" s="41">
        <f>B18</f>
        <v>20073.019500000006</v>
      </c>
      <c r="C34" s="41">
        <f>C18</f>
        <v>15869.326499999999</v>
      </c>
      <c r="D34" s="41">
        <f>D18</f>
        <v>20967.431999999997</v>
      </c>
      <c r="E34" s="41">
        <f>E18</f>
        <v>22167.431999999997</v>
      </c>
    </row>
    <row r="35" spans="1:5" x14ac:dyDescent="0.25">
      <c r="A35" s="74" t="s">
        <v>254</v>
      </c>
      <c r="B35" s="175">
        <f ca="1">'5 Leasing - WACC před leas. '!B22</f>
        <v>0.14762447850480592</v>
      </c>
      <c r="C35" s="175">
        <f ca="1">'5 Leasing - WACC před leas. '!C22</f>
        <v>0.14961589192049665</v>
      </c>
      <c r="D35" s="175">
        <f ca="1">'5 Leasing - WACC před leas. '!D22</f>
        <v>0.14986757616121649</v>
      </c>
      <c r="E35" s="175">
        <f ca="1">'5 Leasing - WACC před leas. '!E22</f>
        <v>0.14958828634281218</v>
      </c>
    </row>
    <row r="36" spans="1:5" x14ac:dyDescent="0.25">
      <c r="A36" s="74" t="s">
        <v>257</v>
      </c>
      <c r="B36" s="124">
        <f>'4 Goodwill - NOA'!G23-'4 Goodwill - NOA'!G10</f>
        <v>38860.600000000006</v>
      </c>
      <c r="C36" s="124">
        <f>'4 Goodwill - NOA'!H23-'4 Goodwill - NOA'!H10</f>
        <v>44128.799999999988</v>
      </c>
      <c r="D36" s="124">
        <f>'4 Goodwill - NOA'!I23-'4 Goodwill - NOA'!I10</f>
        <v>47602.399999999994</v>
      </c>
      <c r="E36" s="124">
        <f>'4 Goodwill - NOA'!J23-'4 Goodwill - NOA'!J10</f>
        <v>48756.400000000023</v>
      </c>
    </row>
    <row r="37" spans="1:5" ht="18.75" x14ac:dyDescent="0.35">
      <c r="A37" s="107" t="s">
        <v>250</v>
      </c>
      <c r="B37" s="133">
        <f ca="1">B35*B36</f>
        <v>5736.775809383862</v>
      </c>
      <c r="C37" s="133">
        <f ca="1">C35*C36</f>
        <v>6602.3697713812107</v>
      </c>
      <c r="D37" s="133">
        <f ca="1">D35*D36</f>
        <v>7134.0563074566908</v>
      </c>
      <c r="E37" s="133">
        <f ca="1">E35*E36</f>
        <v>7293.3863242446914</v>
      </c>
    </row>
    <row r="38" spans="1:5" x14ac:dyDescent="0.25">
      <c r="A38" s="303" t="s">
        <v>251</v>
      </c>
      <c r="B38" s="304">
        <f ca="1">B34-B37</f>
        <v>14336.243690616144</v>
      </c>
      <c r="C38" s="304">
        <f ca="1">C34-C37</f>
        <v>9266.9567286187885</v>
      </c>
      <c r="D38" s="304">
        <f ca="1">D34-D37</f>
        <v>13833.375692543306</v>
      </c>
      <c r="E38" s="304">
        <f ca="1">E34-E37</f>
        <v>14874.045675755306</v>
      </c>
    </row>
    <row r="39" spans="1:5" x14ac:dyDescent="0.25">
      <c r="B39" s="108"/>
      <c r="C39" s="108"/>
      <c r="D39" s="108"/>
      <c r="E39" s="108"/>
    </row>
    <row r="40" spans="1:5" x14ac:dyDescent="0.25">
      <c r="A40" s="2" t="s">
        <v>90</v>
      </c>
    </row>
    <row r="41" spans="1:5" ht="31.5" x14ac:dyDescent="0.25">
      <c r="A41" s="301"/>
      <c r="B41" s="302">
        <f>rok+1</f>
        <v>2023</v>
      </c>
      <c r="C41" s="302">
        <f>B41+1</f>
        <v>2024</v>
      </c>
      <c r="D41" s="302">
        <f>C41+1</f>
        <v>2025</v>
      </c>
      <c r="E41" s="300" t="str">
        <f>FIXED(D41+1,0,1)&amp;" 2.fáze"</f>
        <v>2026 2.fáze</v>
      </c>
    </row>
    <row r="42" spans="1:5" x14ac:dyDescent="0.25">
      <c r="A42" s="77" t="s">
        <v>88</v>
      </c>
      <c r="B42" s="79">
        <f ca="1">B38</f>
        <v>14336.243690616144</v>
      </c>
      <c r="C42" s="79">
        <f ca="1">C38</f>
        <v>9266.9567286187885</v>
      </c>
      <c r="D42" s="79">
        <f ca="1">D38</f>
        <v>13833.375692543306</v>
      </c>
      <c r="E42" s="79">
        <f ca="1">E38</f>
        <v>14874.045675755306</v>
      </c>
    </row>
    <row r="43" spans="1:5" ht="18.75" x14ac:dyDescent="0.35">
      <c r="A43" s="78" t="s">
        <v>252</v>
      </c>
      <c r="B43" s="170">
        <f ca="1">B35</f>
        <v>0.14762447850480592</v>
      </c>
      <c r="C43" s="170">
        <f ca="1">C35</f>
        <v>0.14961589192049665</v>
      </c>
      <c r="D43" s="170">
        <f ca="1">D35</f>
        <v>0.14986757616121649</v>
      </c>
      <c r="E43" s="170">
        <f ca="1">E35</f>
        <v>0.14958828634281218</v>
      </c>
    </row>
    <row r="44" spans="1:5" x14ac:dyDescent="0.25">
      <c r="B44" s="108"/>
      <c r="C44" s="108"/>
      <c r="D44" s="108"/>
      <c r="E44" s="108"/>
    </row>
    <row r="45" spans="1:5" x14ac:dyDescent="0.25">
      <c r="A45" s="512" t="s">
        <v>190</v>
      </c>
      <c r="B45" s="478">
        <f ca="1">(B42+C45)/(1+B43)</f>
        <v>94178.423700987478</v>
      </c>
      <c r="C45" s="406">
        <f ca="1">(C42+D45)/(1+C43)</f>
        <v>93745.220695634271</v>
      </c>
      <c r="D45" s="404">
        <f ca="1">(D42+E45)/(1+D43)</f>
        <v>98504.038774676606</v>
      </c>
      <c r="E45" s="405">
        <f ca="1">E42/E43</f>
        <v>99433.224615384563</v>
      </c>
    </row>
    <row r="46" spans="1:5" x14ac:dyDescent="0.25">
      <c r="A46" s="466" t="s">
        <v>258</v>
      </c>
      <c r="B46" s="467">
        <f>B36</f>
        <v>38860.600000000006</v>
      </c>
      <c r="C46" s="133">
        <f t="shared" ref="C46:E46" si="2">C36</f>
        <v>44128.799999999988</v>
      </c>
      <c r="D46" s="133">
        <f t="shared" si="2"/>
        <v>47602.399999999994</v>
      </c>
      <c r="E46" s="133">
        <f t="shared" si="2"/>
        <v>48756.400000000023</v>
      </c>
    </row>
    <row r="47" spans="1:5" x14ac:dyDescent="0.25">
      <c r="A47" s="392" t="s">
        <v>184</v>
      </c>
      <c r="B47" s="393">
        <f ca="1">B45+B46</f>
        <v>133039.02370098748</v>
      </c>
      <c r="C47" s="393">
        <f ca="1">C45+C46</f>
        <v>137874.02069563424</v>
      </c>
      <c r="D47" s="393">
        <f ca="1">D45+D46</f>
        <v>146106.43877467659</v>
      </c>
      <c r="E47" s="393">
        <f ca="1">E45+E46</f>
        <v>148189.62461538459</v>
      </c>
    </row>
    <row r="48" spans="1:5" x14ac:dyDescent="0.25">
      <c r="A48" s="77" t="s">
        <v>98</v>
      </c>
      <c r="B48" s="124">
        <f>'4 Goodwill - NOA'!G19</f>
        <v>33629.003499999999</v>
      </c>
      <c r="C48" s="108"/>
      <c r="D48" s="108"/>
      <c r="E48" s="108"/>
    </row>
    <row r="49" spans="1:14" x14ac:dyDescent="0.25">
      <c r="A49" s="306" t="s">
        <v>199</v>
      </c>
      <c r="B49" s="396">
        <f ca="1">B47+B48</f>
        <v>166668.02720098748</v>
      </c>
      <c r="C49" s="108"/>
      <c r="D49" s="108"/>
      <c r="E49" s="108"/>
    </row>
    <row r="51" spans="1:14" x14ac:dyDescent="0.25">
      <c r="A51" s="3" t="s">
        <v>295</v>
      </c>
      <c r="G51" s="216"/>
    </row>
    <row r="52" spans="1:14" x14ac:dyDescent="0.25">
      <c r="A52" s="2"/>
      <c r="B52" s="108"/>
      <c r="C52" s="108"/>
      <c r="D52" s="108"/>
      <c r="E52" s="108"/>
    </row>
    <row r="53" spans="1:14" ht="31.5" x14ac:dyDescent="0.25">
      <c r="A53" s="301"/>
      <c r="B53" s="302">
        <f>rok+1</f>
        <v>2023</v>
      </c>
      <c r="C53" s="302">
        <f>B53+1</f>
        <v>2024</v>
      </c>
      <c r="D53" s="302">
        <f>C53+1</f>
        <v>2025</v>
      </c>
      <c r="E53" s="300" t="str">
        <f>FIXED(D53+1,0,1)&amp;" 2.fáze"</f>
        <v>2026 2.fáze</v>
      </c>
      <c r="F53" s="197"/>
    </row>
    <row r="54" spans="1:14" x14ac:dyDescent="0.25">
      <c r="A54" s="87" t="s">
        <v>141</v>
      </c>
      <c r="B54" s="136">
        <f>B28</f>
        <v>21397.526000000005</v>
      </c>
      <c r="C54" s="136">
        <f>C28</f>
        <v>17977.46</v>
      </c>
      <c r="D54" s="136">
        <f>D28</f>
        <v>22676.37</v>
      </c>
      <c r="E54" s="136">
        <f>E28</f>
        <v>23876.37</v>
      </c>
      <c r="F54" s="196"/>
    </row>
    <row r="55" spans="1:14" x14ac:dyDescent="0.25">
      <c r="A55" s="77" t="s">
        <v>142</v>
      </c>
      <c r="B55" s="79">
        <f>'4 Goodwill - NOA'!H7-'4 Goodwill - NOA'!G7</f>
        <v>100</v>
      </c>
      <c r="C55" s="79">
        <f>'4 Goodwill - NOA'!I7-'4 Goodwill - NOA'!H7</f>
        <v>-500</v>
      </c>
      <c r="D55" s="79">
        <f>'4 Goodwill - NOA'!J7-'4 Goodwill - NOA'!I7</f>
        <v>0</v>
      </c>
      <c r="E55" s="79">
        <v>0</v>
      </c>
      <c r="F55" s="197"/>
    </row>
    <row r="56" spans="1:14" x14ac:dyDescent="0.25">
      <c r="A56" s="78" t="s">
        <v>110</v>
      </c>
      <c r="B56" s="81">
        <f>-('4 Goodwill - NOA'!H23-'4 Goodwill - NOA'!G23)</f>
        <v>-9802.1999999999825</v>
      </c>
      <c r="C56" s="81">
        <f>-('4 Goodwill - NOA'!I23-'4 Goodwill - NOA'!H23)</f>
        <v>-5962.6000000000058</v>
      </c>
      <c r="D56" s="81">
        <f>-('4 Goodwill - NOA'!J23-'4 Goodwill - NOA'!I23)</f>
        <v>-1154.0000000000291</v>
      </c>
      <c r="E56" s="81">
        <v>0</v>
      </c>
      <c r="F56" s="196"/>
    </row>
    <row r="57" spans="1:14" x14ac:dyDescent="0.25">
      <c r="A57" s="397" t="s">
        <v>111</v>
      </c>
      <c r="B57" s="390">
        <f>SUM(B54:B56)</f>
        <v>11695.326000000023</v>
      </c>
      <c r="C57" s="390">
        <f>SUM(C54:C56)</f>
        <v>11514.859999999993</v>
      </c>
      <c r="D57" s="390">
        <f>SUM(D54:D56)</f>
        <v>21522.36999999997</v>
      </c>
      <c r="E57" s="390">
        <f>SUM(E54:E56)</f>
        <v>23876.37</v>
      </c>
      <c r="N57" s="108"/>
    </row>
    <row r="58" spans="1:14" x14ac:dyDescent="0.25">
      <c r="A58" s="77" t="s">
        <v>189</v>
      </c>
      <c r="B58" s="204">
        <f>-B17</f>
        <v>-1424.5065000000002</v>
      </c>
      <c r="C58" s="204">
        <f t="shared" ref="C58:E58" si="3">-C17</f>
        <v>-1608.1335000000001</v>
      </c>
      <c r="D58" s="204">
        <f t="shared" si="3"/>
        <v>-1708.9380000000003</v>
      </c>
      <c r="E58" s="204">
        <f t="shared" si="3"/>
        <v>-1708.9380000000003</v>
      </c>
      <c r="L58" s="200"/>
      <c r="M58" s="200"/>
      <c r="N58" s="200"/>
    </row>
    <row r="59" spans="1:14" x14ac:dyDescent="0.25">
      <c r="A59" s="78" t="s">
        <v>287</v>
      </c>
      <c r="B59" s="398">
        <f>'4 Goodwill - NOA'!H10-'4 Goodwill - NOA'!G10</f>
        <v>4534</v>
      </c>
      <c r="C59" s="398">
        <f>'4 Goodwill - NOA'!I10-'4 Goodwill - NOA'!H10</f>
        <v>2489</v>
      </c>
      <c r="D59" s="398">
        <f>'4 Goodwill - NOA'!J10-'4 Goodwill - NOA'!I10</f>
        <v>0</v>
      </c>
      <c r="E59" s="398">
        <v>0</v>
      </c>
    </row>
    <row r="60" spans="1:14" x14ac:dyDescent="0.25">
      <c r="A60" s="308" t="s">
        <v>178</v>
      </c>
      <c r="B60" s="309">
        <f>SUM(B57:B59)</f>
        <v>14804.819500000023</v>
      </c>
      <c r="C60" s="309">
        <f>SUM(C57:C59)</f>
        <v>12395.726499999993</v>
      </c>
      <c r="D60" s="309">
        <f>SUM(D57:D59)</f>
        <v>19813.431999999968</v>
      </c>
      <c r="E60" s="309">
        <f>SUM(E57:E59)</f>
        <v>22167.431999999997</v>
      </c>
      <c r="K60" s="1"/>
      <c r="L60" s="1"/>
    </row>
    <row r="61" spans="1:14" ht="18.75" x14ac:dyDescent="0.35">
      <c r="A61" s="78" t="s">
        <v>252</v>
      </c>
      <c r="B61" s="170">
        <f ca="1">B43</f>
        <v>0.14762447850480592</v>
      </c>
      <c r="C61" s="170">
        <f ca="1">C43</f>
        <v>0.14961589192049665</v>
      </c>
      <c r="D61" s="170">
        <f ca="1">D43</f>
        <v>0.14986757616121649</v>
      </c>
      <c r="E61" s="170">
        <f ca="1">E43</f>
        <v>0.14958828634281218</v>
      </c>
      <c r="L61" s="108"/>
    </row>
    <row r="62" spans="1:14" x14ac:dyDescent="0.25">
      <c r="A62" s="392" t="s">
        <v>184</v>
      </c>
      <c r="B62" s="393">
        <f ca="1">(B60+C62)/(1+B61)</f>
        <v>133039.02370098745</v>
      </c>
      <c r="C62" s="393">
        <f ca="1">(C60+D62)/(1+C61)</f>
        <v>137874.02069563424</v>
      </c>
      <c r="D62" s="393">
        <f ca="1">(D60+E62)/(1+D61)</f>
        <v>146106.43877467659</v>
      </c>
      <c r="E62" s="393">
        <f ca="1">E60/E61</f>
        <v>148189.62461538459</v>
      </c>
      <c r="F62" s="1"/>
    </row>
    <row r="63" spans="1:14" x14ac:dyDescent="0.25">
      <c r="A63" s="77" t="s">
        <v>98</v>
      </c>
      <c r="B63" s="124">
        <f>'4 Goodwill - NOA'!G19</f>
        <v>33629.003499999999</v>
      </c>
      <c r="C63" s="108"/>
      <c r="D63" s="108"/>
      <c r="E63" s="108"/>
    </row>
    <row r="64" spans="1:14" x14ac:dyDescent="0.25">
      <c r="A64" s="306" t="s">
        <v>199</v>
      </c>
      <c r="B64" s="396">
        <f ca="1">B62+B63</f>
        <v>166668.02720098745</v>
      </c>
      <c r="C64" s="108"/>
      <c r="D64" s="108"/>
      <c r="E64" s="108"/>
    </row>
    <row r="66" spans="1:6" x14ac:dyDescent="0.25">
      <c r="A66" s="3" t="s">
        <v>296</v>
      </c>
      <c r="B66" s="218"/>
      <c r="C66" s="218"/>
      <c r="D66" s="218"/>
      <c r="E66" s="218"/>
    </row>
    <row r="67" spans="1:6" x14ac:dyDescent="0.25">
      <c r="B67" s="200"/>
      <c r="C67" s="200"/>
      <c r="D67" s="200"/>
      <c r="E67" s="218"/>
    </row>
    <row r="68" spans="1:6" ht="31.5" x14ac:dyDescent="0.25">
      <c r="A68" s="301"/>
      <c r="B68" s="302">
        <f>rok+1</f>
        <v>2023</v>
      </c>
      <c r="C68" s="302">
        <f>B68+1</f>
        <v>2024</v>
      </c>
      <c r="D68" s="302">
        <f>C68+1</f>
        <v>2025</v>
      </c>
      <c r="E68" s="300" t="str">
        <f>FIXED(D68+1,0,1)&amp;" 2.fáze"</f>
        <v>2026 2.fáze</v>
      </c>
      <c r="F68" s="197"/>
    </row>
    <row r="69" spans="1:6" x14ac:dyDescent="0.25">
      <c r="A69" s="40" t="s">
        <v>111</v>
      </c>
      <c r="B69" s="401">
        <f>B57</f>
        <v>11695.326000000023</v>
      </c>
      <c r="C69" s="41">
        <f>C57</f>
        <v>11514.859999999993</v>
      </c>
      <c r="D69" s="41">
        <f>D57</f>
        <v>21522.36999999997</v>
      </c>
      <c r="E69" s="102">
        <f>E57</f>
        <v>23876.37</v>
      </c>
    </row>
    <row r="70" spans="1:6" x14ac:dyDescent="0.25">
      <c r="A70" s="87" t="s">
        <v>260</v>
      </c>
      <c r="B70" s="223">
        <f>(B69+C70)/(1+'5 Leasing - WACC před leas. '!$B$4)</f>
        <v>161572.3840196387</v>
      </c>
      <c r="C70" s="166">
        <f>(C69+D70)/(1+'5 Leasing - WACC před leas. '!$B$4)</f>
        <v>170881.4679421917</v>
      </c>
      <c r="D70" s="166">
        <f>(D69+E70)/(1+'5 Leasing - WACC před leas. '!$B$4)</f>
        <v>181581.19877467662</v>
      </c>
      <c r="E70" s="136">
        <f>E69/'5 Leasing - WACC před leas. '!$B$4</f>
        <v>183664.3846153846</v>
      </c>
    </row>
    <row r="71" spans="1:6" x14ac:dyDescent="0.25">
      <c r="A71" s="78" t="s">
        <v>261</v>
      </c>
      <c r="B71" s="400">
        <f>'5 Leasing - WACC před leas. '!B19</f>
        <v>8239.6396813488154</v>
      </c>
      <c r="C71" s="133">
        <f>'5 Leasing - WACC před leas. '!C19</f>
        <v>8299.5527534425819</v>
      </c>
      <c r="D71" s="133">
        <f>'5 Leasing - WACC před leas. '!D19</f>
        <v>8321.239999999998</v>
      </c>
      <c r="E71" s="81">
        <f>'5 Leasing - WACC před leas. '!E19</f>
        <v>8321.24</v>
      </c>
    </row>
    <row r="72" spans="1:6" x14ac:dyDescent="0.25">
      <c r="A72" s="103" t="s">
        <v>182</v>
      </c>
      <c r="B72" s="399">
        <f>B70+B71</f>
        <v>169812.02370098751</v>
      </c>
      <c r="C72" s="167">
        <f>C70+C71</f>
        <v>179181.02069563427</v>
      </c>
      <c r="D72" s="167">
        <f>D70+D71</f>
        <v>189902.43877467662</v>
      </c>
      <c r="E72" s="82">
        <f>E70+E71</f>
        <v>191985.62461538459</v>
      </c>
    </row>
    <row r="73" spans="1:6" x14ac:dyDescent="0.25">
      <c r="A73" s="78" t="s">
        <v>183</v>
      </c>
      <c r="B73" s="400">
        <f>'5 Leasing - WACC před leas. '!B10</f>
        <v>36773</v>
      </c>
      <c r="C73" s="133">
        <f>'5 Leasing - WACC před leas. '!C10</f>
        <v>41307</v>
      </c>
      <c r="D73" s="133">
        <f>'5 Leasing - WACC před leas. '!D10</f>
        <v>43796</v>
      </c>
      <c r="E73" s="81">
        <f>'5 Leasing - WACC před leas. '!E10</f>
        <v>43796</v>
      </c>
    </row>
    <row r="74" spans="1:6" x14ac:dyDescent="0.25">
      <c r="A74" s="392" t="s">
        <v>97</v>
      </c>
      <c r="B74" s="402">
        <f>B72-B73</f>
        <v>133039.02370098751</v>
      </c>
      <c r="C74" s="393">
        <f>C72-C73</f>
        <v>137874.02069563427</v>
      </c>
      <c r="D74" s="403">
        <f>D72-D73</f>
        <v>146106.43877467662</v>
      </c>
      <c r="E74" s="393">
        <f>E72-E73</f>
        <v>148189.62461538459</v>
      </c>
    </row>
    <row r="75" spans="1:6" x14ac:dyDescent="0.25">
      <c r="A75" s="77" t="s">
        <v>98</v>
      </c>
      <c r="B75" s="124">
        <f>'4 Goodwill - NOA'!G19</f>
        <v>33629.003499999999</v>
      </c>
    </row>
    <row r="76" spans="1:6" x14ac:dyDescent="0.25">
      <c r="A76" s="306" t="s">
        <v>199</v>
      </c>
      <c r="B76" s="396">
        <f>B74+B75</f>
        <v>166668.0272009875</v>
      </c>
    </row>
  </sheetData>
  <phoneticPr fontId="0" type="noConversion"/>
  <hyperlinks>
    <hyperlink ref="E1" location="Obsah!A1" display="Skok na obsah" xr:uid="{00000000-0004-0000-1800-000000000000}"/>
  </hyperlinks>
  <printOptions gridLinesSet="0"/>
  <pageMargins left="0.78740157480314965" right="0.78740157480314965" top="0.98425196850393704" bottom="0.78740157480314965" header="0.51181102362204722" footer="0.51181102362204722"/>
  <pageSetup paperSize="9" scale="56" orientation="portrait" r:id="rId1"/>
  <headerFooter alignWithMargins="0">
    <oddHeader>&amp;L&amp;"Arial CE,Obyčejné"&amp;10Mařík, M. a kol.: Metody oceňování podniku pro pokročilé
Ekopress 2023&amp;R&amp;"Arial CE,Obyčejné"&amp;10Příklad: Vzájemná shoda metod DCF a EVA</oddHeader>
    <oddFooter>&amp;C&amp;"Arial CE,Obyčejné"&amp;10&amp;A - str. &amp;P&amp;R&amp;"Arial CE,Obyčejné"&amp;10©  Miloš Mařík, Pavla Maříková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fitToPage="1"/>
  </sheetPr>
  <dimension ref="A1:J37"/>
  <sheetViews>
    <sheetView showGridLines="0" workbookViewId="0"/>
  </sheetViews>
  <sheetFormatPr defaultRowHeight="15.75" x14ac:dyDescent="0.25"/>
  <cols>
    <col min="1" max="1" width="40.625" customWidth="1"/>
    <col min="5" max="5" width="9.875" bestFit="1" customWidth="1"/>
    <col min="6" max="6" width="1.875" customWidth="1"/>
  </cols>
  <sheetData>
    <row r="1" spans="1:5" ht="18.75" x14ac:dyDescent="0.3">
      <c r="A1" s="554" t="s">
        <v>402</v>
      </c>
      <c r="E1" s="555" t="s">
        <v>290</v>
      </c>
    </row>
    <row r="2" spans="1:5" ht="20.25" customHeight="1" x14ac:dyDescent="0.25">
      <c r="A2" s="3" t="s">
        <v>30</v>
      </c>
    </row>
    <row r="4" spans="1:5" x14ac:dyDescent="0.25">
      <c r="A4" t="s">
        <v>31</v>
      </c>
    </row>
    <row r="5" spans="1:5" x14ac:dyDescent="0.25">
      <c r="A5" t="str">
        <f>"Automobily byly pronajaty k 1. 1. "&amp;FIXED(rok,0,1)&amp;", a to na 3 roky."</f>
        <v>Automobily byly pronajaty k 1. 1. 2022, a to na 3 roky.</v>
      </c>
    </row>
    <row r="7" spans="1:5" x14ac:dyDescent="0.25">
      <c r="A7" s="119" t="s">
        <v>32</v>
      </c>
      <c r="B7" s="120"/>
      <c r="C7" s="407">
        <v>24786</v>
      </c>
      <c r="D7" s="121" t="s">
        <v>33</v>
      </c>
    </row>
    <row r="8" spans="1:5" x14ac:dyDescent="0.25">
      <c r="A8" s="74" t="s">
        <v>34</v>
      </c>
      <c r="C8" s="408">
        <v>10000</v>
      </c>
      <c r="D8" s="118" t="s">
        <v>33</v>
      </c>
    </row>
    <row r="9" spans="1:5" x14ac:dyDescent="0.25">
      <c r="A9" s="74" t="s">
        <v>35</v>
      </c>
      <c r="C9" s="408">
        <v>5000</v>
      </c>
      <c r="D9" s="118" t="s">
        <v>33</v>
      </c>
    </row>
    <row r="10" spans="1:5" x14ac:dyDescent="0.25">
      <c r="A10" s="107" t="s">
        <v>36</v>
      </c>
      <c r="B10" s="67"/>
      <c r="C10" s="122"/>
      <c r="D10" s="123"/>
    </row>
    <row r="11" spans="1:5" x14ac:dyDescent="0.25">
      <c r="C11" s="39"/>
    </row>
    <row r="12" spans="1:5" x14ac:dyDescent="0.25">
      <c r="A12" s="1" t="s">
        <v>197</v>
      </c>
      <c r="C12" s="39"/>
    </row>
    <row r="14" spans="1:5" x14ac:dyDescent="0.25">
      <c r="A14" s="2" t="s">
        <v>37</v>
      </c>
    </row>
    <row r="15" spans="1:5" x14ac:dyDescent="0.25">
      <c r="A15" s="418"/>
      <c r="B15" s="420" t="s">
        <v>264</v>
      </c>
      <c r="C15" s="603" t="s">
        <v>266</v>
      </c>
      <c r="D15" s="604"/>
      <c r="E15" s="605"/>
    </row>
    <row r="16" spans="1:5" x14ac:dyDescent="0.25">
      <c r="A16" s="419"/>
      <c r="B16" s="426" t="s">
        <v>265</v>
      </c>
      <c r="C16" s="427">
        <f>'1 Aktiva'!B3</f>
        <v>2022</v>
      </c>
      <c r="D16" s="288">
        <f>C16+1</f>
        <v>2023</v>
      </c>
      <c r="E16" s="421">
        <f>D16+1</f>
        <v>2024</v>
      </c>
    </row>
    <row r="17" spans="1:10" x14ac:dyDescent="0.25">
      <c r="A17" s="78" t="s">
        <v>267</v>
      </c>
      <c r="B17" s="41">
        <f>-C7</f>
        <v>-24786</v>
      </c>
      <c r="C17" s="133">
        <f>C8</f>
        <v>10000</v>
      </c>
      <c r="D17" s="41">
        <f>C8</f>
        <v>10000</v>
      </c>
      <c r="E17" s="41">
        <f>C8+C9</f>
        <v>15000</v>
      </c>
      <c r="G17" s="108"/>
      <c r="H17" s="108"/>
      <c r="I17" s="108"/>
      <c r="J17" s="108"/>
    </row>
    <row r="18" spans="1:10" x14ac:dyDescent="0.25">
      <c r="B18" s="108"/>
      <c r="C18" s="108"/>
      <c r="D18" s="108"/>
    </row>
    <row r="19" spans="1:10" x14ac:dyDescent="0.25">
      <c r="A19" s="40" t="s">
        <v>38</v>
      </c>
      <c r="B19" s="109">
        <f>ROUND(IRR(B17:E17),2)</f>
        <v>0.18</v>
      </c>
      <c r="C19" s="110"/>
      <c r="D19" s="108"/>
    </row>
    <row r="20" spans="1:10" x14ac:dyDescent="0.25">
      <c r="B20" s="108"/>
      <c r="C20" s="108"/>
      <c r="D20" s="108"/>
    </row>
    <row r="21" spans="1:10" x14ac:dyDescent="0.25">
      <c r="A21" s="2" t="s">
        <v>39</v>
      </c>
    </row>
    <row r="22" spans="1:10" ht="16.5" thickBot="1" x14ac:dyDescent="0.3"/>
    <row r="23" spans="1:10" ht="16.5" thickBot="1" x14ac:dyDescent="0.3">
      <c r="A23" s="422"/>
      <c r="B23" s="425">
        <f>'1 Aktiva'!B3</f>
        <v>2022</v>
      </c>
      <c r="C23" s="423">
        <f>B23+1</f>
        <v>2023</v>
      </c>
      <c r="D23" s="423">
        <f>C23+1</f>
        <v>2024</v>
      </c>
      <c r="E23" s="424">
        <f>D23+1</f>
        <v>2025</v>
      </c>
      <c r="F23" s="63"/>
    </row>
    <row r="24" spans="1:10" ht="23.25" customHeight="1" thickBot="1" x14ac:dyDescent="0.3">
      <c r="A24" s="415" t="s">
        <v>269</v>
      </c>
      <c r="B24" s="416"/>
      <c r="C24" s="417"/>
      <c r="D24" s="417"/>
      <c r="E24" s="417"/>
    </row>
    <row r="25" spans="1:10" x14ac:dyDescent="0.25">
      <c r="A25" s="116" t="s">
        <v>40</v>
      </c>
      <c r="B25" s="430">
        <f>C7</f>
        <v>24786</v>
      </c>
      <c r="C25" s="428">
        <f>B29</f>
        <v>19247.48</v>
      </c>
      <c r="D25" s="114">
        <f>C29</f>
        <v>12712.026399999999</v>
      </c>
      <c r="E25" s="115">
        <f>D29</f>
        <v>0.19115199999941979</v>
      </c>
      <c r="F25" s="63"/>
    </row>
    <row r="26" spans="1:10" x14ac:dyDescent="0.25">
      <c r="A26" s="409" t="s">
        <v>41</v>
      </c>
      <c r="B26" s="431">
        <f>B25*$B$19</f>
        <v>4461.4799999999996</v>
      </c>
      <c r="C26" s="136">
        <f>C25*$B$19</f>
        <v>3464.5463999999997</v>
      </c>
      <c r="D26" s="166">
        <f>D25*$B$19</f>
        <v>2288.1647519999997</v>
      </c>
      <c r="E26" s="410">
        <f>E25*$B$19</f>
        <v>3.4407359999895561E-2</v>
      </c>
      <c r="F26" s="63"/>
    </row>
    <row r="27" spans="1:10" x14ac:dyDescent="0.25">
      <c r="A27" s="411" t="s">
        <v>268</v>
      </c>
      <c r="B27" s="432">
        <f>C17</f>
        <v>10000</v>
      </c>
      <c r="C27" s="79">
        <f t="shared" ref="C27:D27" si="0">D17</f>
        <v>10000</v>
      </c>
      <c r="D27" s="124">
        <f t="shared" si="0"/>
        <v>15000</v>
      </c>
      <c r="E27" s="412">
        <v>0</v>
      </c>
      <c r="F27" s="63"/>
    </row>
    <row r="28" spans="1:10" x14ac:dyDescent="0.25">
      <c r="A28" s="413" t="s">
        <v>42</v>
      </c>
      <c r="B28" s="433">
        <f>B27-B26</f>
        <v>5538.52</v>
      </c>
      <c r="C28" s="81">
        <f t="shared" ref="C28:E28" si="1">C27-C26</f>
        <v>6535.4536000000007</v>
      </c>
      <c r="D28" s="133">
        <f t="shared" si="1"/>
        <v>12711.835247999999</v>
      </c>
      <c r="E28" s="414">
        <f t="shared" si="1"/>
        <v>-3.4407359999895561E-2</v>
      </c>
      <c r="F28" s="63"/>
    </row>
    <row r="29" spans="1:10" ht="16.5" thickBot="1" x14ac:dyDescent="0.3">
      <c r="A29" s="117" t="s">
        <v>43</v>
      </c>
      <c r="B29" s="434">
        <f>B25-B28</f>
        <v>19247.48</v>
      </c>
      <c r="C29" s="429">
        <f>C25-C28</f>
        <v>12712.026399999999</v>
      </c>
      <c r="D29" s="112">
        <f>D25-D28</f>
        <v>0.19115199999941979</v>
      </c>
      <c r="E29" s="113">
        <f>E25-E28</f>
        <v>0.22555935999931534</v>
      </c>
      <c r="F29" s="63"/>
    </row>
    <row r="30" spans="1:10" ht="23.25" customHeight="1" thickBot="1" x14ac:dyDescent="0.3">
      <c r="A30" s="415" t="s">
        <v>270</v>
      </c>
      <c r="B30" s="416"/>
      <c r="C30" s="417"/>
      <c r="D30" s="417"/>
      <c r="E30" s="417"/>
    </row>
    <row r="31" spans="1:10" x14ac:dyDescent="0.25">
      <c r="A31" s="116" t="s">
        <v>18</v>
      </c>
      <c r="B31" s="430">
        <f>$C$7/4</f>
        <v>6196.5</v>
      </c>
      <c r="C31" s="428">
        <f>$C$7/4</f>
        <v>6196.5</v>
      </c>
      <c r="D31" s="114">
        <f>$C$7/4</f>
        <v>6196.5</v>
      </c>
      <c r="E31" s="115">
        <f>$C$7-SUM(B31:D31)</f>
        <v>6196.5</v>
      </c>
      <c r="F31" s="63"/>
    </row>
    <row r="32" spans="1:10" ht="16.5" thickBot="1" x14ac:dyDescent="0.3">
      <c r="A32" s="117" t="s">
        <v>44</v>
      </c>
      <c r="B32" s="434">
        <f>C7-B31</f>
        <v>18589.5</v>
      </c>
      <c r="C32" s="429">
        <f>B32-C31</f>
        <v>12393</v>
      </c>
      <c r="D32" s="112">
        <f>C32-D31</f>
        <v>6196.5</v>
      </c>
      <c r="E32" s="113">
        <f>D32-E31</f>
        <v>0</v>
      </c>
      <c r="F32" s="63"/>
    </row>
    <row r="33" spans="1:5" ht="23.25" customHeight="1" thickBot="1" x14ac:dyDescent="0.3">
      <c r="A33" s="415" t="s">
        <v>271</v>
      </c>
      <c r="B33" s="416"/>
      <c r="C33" s="417"/>
      <c r="D33" s="417"/>
      <c r="E33" s="417"/>
    </row>
    <row r="34" spans="1:5" x14ac:dyDescent="0.25">
      <c r="A34" s="435" t="s">
        <v>171</v>
      </c>
      <c r="B34" s="430">
        <f>$C$8</f>
        <v>10000</v>
      </c>
      <c r="C34" s="428">
        <f>$C$8</f>
        <v>10000</v>
      </c>
      <c r="D34" s="114">
        <f>$C$8</f>
        <v>10000</v>
      </c>
      <c r="E34" s="115">
        <f>C9</f>
        <v>5000</v>
      </c>
    </row>
    <row r="35" spans="1:5" x14ac:dyDescent="0.25">
      <c r="A35" s="436" t="s">
        <v>45</v>
      </c>
      <c r="B35" s="438">
        <f>B26+B31</f>
        <v>10657.98</v>
      </c>
      <c r="C35" s="102">
        <f>C26+C31</f>
        <v>9661.0463999999993</v>
      </c>
      <c r="D35" s="41">
        <f>D26+D31</f>
        <v>8484.6647520000006</v>
      </c>
      <c r="E35" s="111">
        <f>E26+E31</f>
        <v>6196.5344073599999</v>
      </c>
    </row>
    <row r="36" spans="1:5" ht="16.5" thickBot="1" x14ac:dyDescent="0.3">
      <c r="A36" s="437" t="s">
        <v>208</v>
      </c>
      <c r="B36" s="434">
        <f>B34-B35</f>
        <v>-657.97999999999956</v>
      </c>
      <c r="C36" s="429">
        <f>C34-C35</f>
        <v>338.95360000000073</v>
      </c>
      <c r="D36" s="112">
        <f>D34-D35</f>
        <v>1515.3352479999994</v>
      </c>
      <c r="E36" s="113">
        <f>E34-E35</f>
        <v>-1196.5344073599999</v>
      </c>
    </row>
    <row r="37" spans="1:5" x14ac:dyDescent="0.25">
      <c r="B37" s="108"/>
      <c r="C37" s="108"/>
      <c r="D37" s="108"/>
      <c r="E37" s="108"/>
    </row>
  </sheetData>
  <mergeCells count="1">
    <mergeCell ref="C15:E15"/>
  </mergeCells>
  <phoneticPr fontId="0" type="noConversion"/>
  <hyperlinks>
    <hyperlink ref="E1" location="Obsah!A1" display="Skok na obsah" xr:uid="{00000000-0004-0000-1900-000000000000}"/>
  </hyperlinks>
  <printOptions gridLinesSet="0"/>
  <pageMargins left="0.78740157480314965" right="0.78740157480314965" top="0.98425196850393704" bottom="0.78740157480314965" header="0.51181102362204722" footer="0.51181102362204722"/>
  <pageSetup paperSize="9" orientation="portrait" r:id="rId1"/>
  <headerFooter alignWithMargins="0">
    <oddHeader>&amp;L&amp;"Arial CE,Obyčejné"&amp;10Mařík, M. a kol.: Metody oceňování podniku pro pokročilé
Ekopress 2023&amp;R&amp;"Arial CE,Obyčejné"&amp;10Příklad: Vzájemná shoda metod DCF a EVA</oddHeader>
    <oddFooter>&amp;C&amp;"Arial CE,Obyčejné"&amp;10&amp;A - str. &amp;P&amp;R&amp;"Arial CE,Obyčejné"&amp;10©  Miloš Mařík, Pavla Maříková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pageSetUpPr fitToPage="1"/>
  </sheetPr>
  <dimension ref="A1:K25"/>
  <sheetViews>
    <sheetView showGridLines="0" workbookViewId="0"/>
  </sheetViews>
  <sheetFormatPr defaultRowHeight="15.75" x14ac:dyDescent="0.25"/>
  <cols>
    <col min="1" max="1" width="10.125" customWidth="1"/>
    <col min="2" max="5" width="7.25" customWidth="1"/>
    <col min="6" max="6" width="17" customWidth="1"/>
    <col min="7" max="10" width="7.125" customWidth="1"/>
    <col min="11" max="11" width="0.75" customWidth="1"/>
  </cols>
  <sheetData>
    <row r="1" spans="1:11" ht="18.75" x14ac:dyDescent="0.3">
      <c r="A1" s="554" t="s">
        <v>402</v>
      </c>
      <c r="J1" s="555" t="s">
        <v>290</v>
      </c>
    </row>
    <row r="2" spans="1:11" ht="20.25" customHeight="1" x14ac:dyDescent="0.25">
      <c r="A2" s="3" t="s">
        <v>238</v>
      </c>
    </row>
    <row r="4" spans="1:11" ht="16.5" thickBot="1" x14ac:dyDescent="0.3">
      <c r="A4" s="2" t="s">
        <v>148</v>
      </c>
    </row>
    <row r="5" spans="1:11" ht="16.5" thickBot="1" x14ac:dyDescent="0.3">
      <c r="A5" s="318" t="s">
        <v>5</v>
      </c>
      <c r="B5" s="238">
        <f>'1 Aktiva'!B3</f>
        <v>2022</v>
      </c>
      <c r="C5" s="266">
        <f>'1 Aktiva'!C3</f>
        <v>2023</v>
      </c>
      <c r="D5" s="240">
        <f>'1 Aktiva'!D3</f>
        <v>2024</v>
      </c>
      <c r="E5" s="241">
        <f>'1 Aktiva'!E3</f>
        <v>2025</v>
      </c>
      <c r="F5" s="237" t="s">
        <v>11</v>
      </c>
      <c r="G5" s="238">
        <f>B5</f>
        <v>2022</v>
      </c>
      <c r="H5" s="266">
        <f>C5</f>
        <v>2023</v>
      </c>
      <c r="I5" s="240">
        <f>D5</f>
        <v>2024</v>
      </c>
      <c r="J5" s="241">
        <f>E5</f>
        <v>2025</v>
      </c>
      <c r="K5" s="63"/>
    </row>
    <row r="6" spans="1:11" ht="31.5" x14ac:dyDescent="0.25">
      <c r="A6" s="542" t="s">
        <v>149</v>
      </c>
      <c r="B6" s="442">
        <f>'4 Goodwill - Aktiva'!B5</f>
        <v>65394</v>
      </c>
      <c r="C6" s="439">
        <f>'4 Goodwill - Aktiva'!C5</f>
        <v>66043</v>
      </c>
      <c r="D6" s="462">
        <f>'4 Goodwill - Aktiva'!D5-'5 Leasing - příprava'!C9</f>
        <v>62043</v>
      </c>
      <c r="E6" s="183">
        <f>'4 Goodwill - Aktiva'!E5</f>
        <v>67043</v>
      </c>
      <c r="F6" s="545" t="s">
        <v>53</v>
      </c>
      <c r="G6" s="449">
        <f>'2 Rezervy - Pasiva'!B5</f>
        <v>63429.603499999997</v>
      </c>
      <c r="H6" s="446">
        <f>'2 Rezervy - Pasiva'!C5</f>
        <v>76899.622999999992</v>
      </c>
      <c r="I6" s="190">
        <f>'2 Rezervy - Pasiva'!D5</f>
        <v>90365.949499999988</v>
      </c>
      <c r="J6" s="191">
        <f>'2 Rezervy - Pasiva'!E5</f>
        <v>108100.3815</v>
      </c>
      <c r="K6" s="63"/>
    </row>
    <row r="7" spans="1:11" x14ac:dyDescent="0.25">
      <c r="A7" s="443"/>
      <c r="B7" s="443"/>
      <c r="C7" s="184"/>
      <c r="D7" s="184"/>
      <c r="E7" s="185"/>
      <c r="F7" s="546" t="s">
        <v>54</v>
      </c>
      <c r="G7" s="445">
        <f>'2 Rezervy - Pasiva'!B12</f>
        <v>900</v>
      </c>
      <c r="H7" s="441">
        <f>'2 Rezervy - Pasiva'!C12</f>
        <v>1000</v>
      </c>
      <c r="I7" s="186">
        <f>'2 Rezervy - Pasiva'!D12</f>
        <v>500</v>
      </c>
      <c r="J7" s="192">
        <f>'2 Rezervy - Pasiva'!E12</f>
        <v>500</v>
      </c>
      <c r="K7" s="63"/>
    </row>
    <row r="8" spans="1:11" ht="47.25" x14ac:dyDescent="0.25">
      <c r="A8" s="550" t="s">
        <v>166</v>
      </c>
      <c r="B8" s="452">
        <f>SUM('4 Goodwill - příprava'!$C$11:O11)</f>
        <v>6500</v>
      </c>
      <c r="C8" s="188">
        <f>SUM('4 Goodwill - příprava'!$C$11:P11)</f>
        <v>7000</v>
      </c>
      <c r="D8" s="188">
        <f>SUM('4 Goodwill - příprava'!$C$11:Q11)</f>
        <v>7500</v>
      </c>
      <c r="E8" s="189">
        <f>SUM('4 Goodwill - příprava'!$C$11:R11)</f>
        <v>7500</v>
      </c>
      <c r="F8" s="544" t="s">
        <v>167</v>
      </c>
      <c r="G8" s="445">
        <f t="shared" ref="G8:J9" si="0">B8</f>
        <v>6500</v>
      </c>
      <c r="H8" s="441">
        <f t="shared" si="0"/>
        <v>7000</v>
      </c>
      <c r="I8" s="186">
        <f t="shared" si="0"/>
        <v>7500</v>
      </c>
      <c r="J8" s="192">
        <f t="shared" si="0"/>
        <v>7500</v>
      </c>
      <c r="K8" s="63"/>
    </row>
    <row r="9" spans="1:11" ht="47.25" x14ac:dyDescent="0.25">
      <c r="A9" s="544" t="s">
        <v>159</v>
      </c>
      <c r="B9" s="445">
        <f>'3 Marketing - příprava'!B17</f>
        <v>1660</v>
      </c>
      <c r="C9" s="441">
        <f>'3 Marketing - příprava'!C17</f>
        <v>3230</v>
      </c>
      <c r="D9" s="186">
        <f>'3 Marketing - příprava'!D17</f>
        <v>1200</v>
      </c>
      <c r="E9" s="186">
        <f>'3 Marketing - příprava'!E17</f>
        <v>0</v>
      </c>
      <c r="F9" s="544" t="s">
        <v>165</v>
      </c>
      <c r="G9" s="445">
        <f t="shared" si="0"/>
        <v>1660</v>
      </c>
      <c r="H9" s="441">
        <f t="shared" si="0"/>
        <v>3230</v>
      </c>
      <c r="I9" s="186">
        <f t="shared" si="0"/>
        <v>1200</v>
      </c>
      <c r="J9" s="192">
        <f t="shared" si="0"/>
        <v>0</v>
      </c>
      <c r="K9" s="63"/>
    </row>
    <row r="10" spans="1:11" ht="38.25" customHeight="1" thickBot="1" x14ac:dyDescent="0.3">
      <c r="A10" s="551" t="s">
        <v>170</v>
      </c>
      <c r="B10" s="453">
        <f>'5 Leasing - příprava'!B32</f>
        <v>18589.5</v>
      </c>
      <c r="C10" s="454">
        <f>'5 Leasing - příprava'!C32</f>
        <v>12393</v>
      </c>
      <c r="D10" s="455">
        <f>'5 Leasing - příprava'!D32</f>
        <v>6196.5</v>
      </c>
      <c r="E10" s="455">
        <f>'5 Leasing - příprava'!E32</f>
        <v>0</v>
      </c>
      <c r="F10" s="553" t="s">
        <v>274</v>
      </c>
      <c r="G10" s="456">
        <f>'5 Leasing - příprava'!B36</f>
        <v>-657.97999999999956</v>
      </c>
      <c r="H10" s="457">
        <f>'5 Leasing - příprava'!C36+G10</f>
        <v>-319.02639999999883</v>
      </c>
      <c r="I10" s="458">
        <f>'5 Leasing - příprava'!D36+H10</f>
        <v>1196.3088480000006</v>
      </c>
      <c r="J10" s="458">
        <f>'5 Leasing - příprava'!E36+I10</f>
        <v>-0.22555935999935173</v>
      </c>
      <c r="K10" s="63"/>
    </row>
    <row r="11" spans="1:11" ht="16.5" thickBot="1" x14ac:dyDescent="0.3">
      <c r="A11" s="551"/>
      <c r="B11" s="453"/>
      <c r="C11" s="454"/>
      <c r="D11" s="455"/>
      <c r="E11" s="455"/>
      <c r="F11" s="543" t="s">
        <v>172</v>
      </c>
      <c r="G11" s="459">
        <f>'5 Leasing - příprava'!B29</f>
        <v>19247.48</v>
      </c>
      <c r="H11" s="460">
        <f>'5 Leasing - příprava'!C29</f>
        <v>12712.026399999999</v>
      </c>
      <c r="I11" s="461">
        <f>'5 Leasing - příprava'!D29</f>
        <v>0.19115199999941979</v>
      </c>
      <c r="J11" s="461">
        <f>'5 Leasing - příprava'!E29</f>
        <v>0.22555935999931534</v>
      </c>
      <c r="K11" s="63"/>
    </row>
    <row r="12" spans="1:11" ht="32.25" thickBot="1" x14ac:dyDescent="0.3">
      <c r="A12" s="552" t="s">
        <v>55</v>
      </c>
      <c r="B12" s="442">
        <f>'1 Aktiva'!B12-'1 Pasiva'!B15</f>
        <v>35708.603499999997</v>
      </c>
      <c r="C12" s="439">
        <f>'1 Aktiva'!C12-'1 Pasiva'!C15</f>
        <v>53163.622999999992</v>
      </c>
      <c r="D12" s="182">
        <f>'1 Aktiva'!D12-'1 Pasiva'!D15</f>
        <v>67618.949500000002</v>
      </c>
      <c r="E12" s="182">
        <f>'1 Aktiva'!E12-'1 Pasiva'!E15</f>
        <v>85353.381500000003</v>
      </c>
      <c r="F12" s="549" t="s">
        <v>56</v>
      </c>
      <c r="G12" s="451">
        <f>'1 Pasiva'!B13+'1 Pasiva'!B14</f>
        <v>36773</v>
      </c>
      <c r="H12" s="448">
        <f>'1 Pasiva'!C13+'1 Pasiva'!C14</f>
        <v>41307</v>
      </c>
      <c r="I12" s="187">
        <f>'1 Pasiva'!D13+'1 Pasiva'!D14</f>
        <v>43796</v>
      </c>
      <c r="J12" s="187">
        <f>'1 Pasiva'!E13+'1 Pasiva'!E14</f>
        <v>43796</v>
      </c>
      <c r="K12" s="63"/>
    </row>
    <row r="13" spans="1:11" ht="16.5" thickBot="1" x14ac:dyDescent="0.3">
      <c r="A13" s="322" t="s">
        <v>57</v>
      </c>
      <c r="B13" s="278">
        <f>SUM(B6:B12)</f>
        <v>127852.1035</v>
      </c>
      <c r="C13" s="279">
        <f>SUM(C6:C12)</f>
        <v>141829.62299999999</v>
      </c>
      <c r="D13" s="85">
        <f>SUM(D6:D12)</f>
        <v>144558.44949999999</v>
      </c>
      <c r="E13" s="85">
        <f>SUM(E6:E12)</f>
        <v>159896.38150000002</v>
      </c>
      <c r="F13" s="277" t="s">
        <v>57</v>
      </c>
      <c r="G13" s="278">
        <f>SUM(G6:G12)</f>
        <v>127852.1035</v>
      </c>
      <c r="H13" s="279">
        <f>SUM(H6:H12)</f>
        <v>141829.62299999999</v>
      </c>
      <c r="I13" s="85">
        <f>SUM(I6:I12)</f>
        <v>144558.44949999999</v>
      </c>
      <c r="J13" s="85">
        <f>SUM(J6:J12)</f>
        <v>159896.38150000002</v>
      </c>
      <c r="K13" s="63"/>
    </row>
    <row r="14" spans="1:11" x14ac:dyDescent="0.25">
      <c r="A14" s="144"/>
      <c r="B14" s="145"/>
      <c r="C14" s="145"/>
      <c r="D14" s="145"/>
      <c r="E14" s="145"/>
      <c r="F14" s="142"/>
      <c r="G14" s="143"/>
      <c r="H14" s="143"/>
      <c r="I14" s="143"/>
      <c r="J14" s="143"/>
    </row>
    <row r="15" spans="1:11" ht="16.5" thickBot="1" x14ac:dyDescent="0.3">
      <c r="A15" s="2" t="s">
        <v>243</v>
      </c>
    </row>
    <row r="16" spans="1:11" ht="16.5" thickBot="1" x14ac:dyDescent="0.3">
      <c r="A16" s="264"/>
      <c r="B16" s="280"/>
      <c r="C16" s="280"/>
      <c r="D16" s="280"/>
      <c r="E16" s="280"/>
      <c r="F16" s="281"/>
      <c r="G16" s="238">
        <f>B5</f>
        <v>2022</v>
      </c>
      <c r="H16" s="239">
        <f>C5</f>
        <v>2023</v>
      </c>
      <c r="I16" s="240">
        <f>D5</f>
        <v>2024</v>
      </c>
      <c r="J16" s="241">
        <f>E5</f>
        <v>2025</v>
      </c>
      <c r="K16" s="63"/>
    </row>
    <row r="17" spans="1:11" x14ac:dyDescent="0.25">
      <c r="A17" s="66" t="s">
        <v>102</v>
      </c>
      <c r="B17" s="67"/>
      <c r="C17" s="67"/>
      <c r="D17" s="67"/>
      <c r="E17" s="67"/>
      <c r="F17" s="68"/>
      <c r="G17" s="282">
        <f>'1 Informace'!$D$15*'1 Pasiva'!B15</f>
        <v>8859.6</v>
      </c>
      <c r="H17" s="69">
        <f>'1 Informace'!$D$15*'1 Pasiva'!C15</f>
        <v>11155.8</v>
      </c>
      <c r="I17" s="69">
        <f>'1 Informace'!$D$15*'1 Pasiva'!D15</f>
        <v>12188.4</v>
      </c>
      <c r="J17" s="69">
        <f>'1 Informace'!$D$15*'1 Pasiva'!E15</f>
        <v>12974.4</v>
      </c>
      <c r="K17" s="63"/>
    </row>
    <row r="18" spans="1:11" x14ac:dyDescent="0.25">
      <c r="A18" s="63" t="s">
        <v>103</v>
      </c>
      <c r="F18" s="65"/>
      <c r="G18" s="283">
        <f>'1 Aktiva'!B21-'5 Leasing - NOA'!G17</f>
        <v>17629.003499999999</v>
      </c>
      <c r="H18" s="70">
        <f>'1 Aktiva'!C21-'5 Leasing - NOA'!H17</f>
        <v>28000.823</v>
      </c>
      <c r="I18" s="70">
        <f>'1 Aktiva'!D21-'5 Leasing - NOA'!I17</f>
        <v>35963.549500000001</v>
      </c>
      <c r="J18" s="70">
        <f>'1 Aktiva'!E21-'5 Leasing - NOA'!J17</f>
        <v>51343.981500000002</v>
      </c>
      <c r="K18" s="63"/>
    </row>
    <row r="19" spans="1:11" x14ac:dyDescent="0.25">
      <c r="A19" s="63" t="s">
        <v>150</v>
      </c>
      <c r="F19" s="65"/>
      <c r="G19" s="283">
        <f>'1 Aktiva'!B10</f>
        <v>11000</v>
      </c>
      <c r="H19" s="70">
        <f>'1 Aktiva'!C10</f>
        <v>11000</v>
      </c>
      <c r="I19" s="70">
        <f>'1 Aktiva'!D10</f>
        <v>11000</v>
      </c>
      <c r="J19" s="70">
        <f>'1 Aktiva'!E10</f>
        <v>11000</v>
      </c>
      <c r="K19" s="63"/>
    </row>
    <row r="20" spans="1:11" ht="16.5" thickBot="1" x14ac:dyDescent="0.3">
      <c r="A20" s="63" t="s">
        <v>151</v>
      </c>
      <c r="F20" s="65"/>
      <c r="G20" s="509">
        <f>'1 Aktiva'!B20</f>
        <v>5000</v>
      </c>
      <c r="H20" s="70">
        <f>'1 Aktiva'!C20</f>
        <v>5000</v>
      </c>
      <c r="I20" s="70">
        <f>'1 Aktiva'!D20</f>
        <v>5000</v>
      </c>
      <c r="J20" s="70">
        <f>'1 Aktiva'!E20</f>
        <v>5000</v>
      </c>
      <c r="K20" s="63"/>
    </row>
    <row r="21" spans="1:11" ht="16.5" thickBot="1" x14ac:dyDescent="0.3">
      <c r="A21" s="71" t="s">
        <v>58</v>
      </c>
      <c r="B21" s="72"/>
      <c r="C21" s="72"/>
      <c r="D21" s="72"/>
      <c r="E21" s="72"/>
      <c r="F21" s="73"/>
      <c r="G21" s="64">
        <f>SUM(G18:G20)</f>
        <v>33629.003499999999</v>
      </c>
      <c r="H21" s="64">
        <f>SUM(H18:H20)</f>
        <v>44000.823000000004</v>
      </c>
      <c r="I21" s="64">
        <f>SUM(I18:I20)</f>
        <v>51963.549500000001</v>
      </c>
      <c r="J21" s="64">
        <f>SUM(J18:J20)</f>
        <v>67343.981499999994</v>
      </c>
      <c r="K21" s="63"/>
    </row>
    <row r="23" spans="1:11" ht="16.5" thickBot="1" x14ac:dyDescent="0.3">
      <c r="A23" s="2" t="s">
        <v>228</v>
      </c>
    </row>
    <row r="24" spans="1:11" ht="16.5" thickBot="1" x14ac:dyDescent="0.3">
      <c r="A24" s="264"/>
      <c r="B24" s="280"/>
      <c r="C24" s="280"/>
      <c r="D24" s="280"/>
      <c r="E24" s="280"/>
      <c r="F24" s="281"/>
      <c r="G24" s="238">
        <f>G16</f>
        <v>2022</v>
      </c>
      <c r="H24" s="239">
        <f>H16</f>
        <v>2023</v>
      </c>
      <c r="I24" s="240">
        <f>I16</f>
        <v>2024</v>
      </c>
      <c r="J24" s="241">
        <f>J16</f>
        <v>2025</v>
      </c>
      <c r="K24" s="63"/>
    </row>
    <row r="25" spans="1:11" ht="16.5" thickBot="1" x14ac:dyDescent="0.3">
      <c r="A25" s="71" t="s">
        <v>229</v>
      </c>
      <c r="B25" s="72"/>
      <c r="C25" s="72"/>
      <c r="D25" s="72"/>
      <c r="E25" s="72"/>
      <c r="F25" s="73"/>
      <c r="G25" s="284">
        <f>G13-G21</f>
        <v>94223.1</v>
      </c>
      <c r="H25" s="64">
        <f>H13-H21</f>
        <v>97828.799999999988</v>
      </c>
      <c r="I25" s="64">
        <f>I13-I21</f>
        <v>92594.9</v>
      </c>
      <c r="J25" s="64">
        <f>J13-J21</f>
        <v>92552.400000000023</v>
      </c>
      <c r="K25" s="63"/>
    </row>
  </sheetData>
  <phoneticPr fontId="0" type="noConversion"/>
  <hyperlinks>
    <hyperlink ref="J1" location="Obsah!A1" display="Skok na obsah" xr:uid="{00000000-0004-0000-1A00-000000000000}"/>
  </hyperlinks>
  <printOptions gridLinesSet="0"/>
  <pageMargins left="0.78740157480314965" right="0.78740157480314965" top="0.98425196850393704" bottom="0.78740157480314965" header="0.51181102362204722" footer="0.51181102362204722"/>
  <pageSetup paperSize="9" scale="93" orientation="portrait" r:id="rId1"/>
  <headerFooter alignWithMargins="0">
    <oddHeader>&amp;L&amp;"Arial CE,Obyčejné"&amp;10Mařík, M. a kol.: Metody oceňování podniku pro pokročilé
Ekopress 2023&amp;R&amp;"Arial CE,Obyčejné"&amp;10Příklad: Vzájemná shoda metod DCF a EVA</oddHeader>
    <oddFooter>&amp;C&amp;"Arial CE,Obyčejné"&amp;10&amp;A - str. &amp;P&amp;R&amp;"Arial CE,Obyčejné"&amp;10©  Miloš Mařík, Pavla Maříková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pageSetUpPr fitToPage="1"/>
  </sheetPr>
  <dimension ref="A1:E34"/>
  <sheetViews>
    <sheetView showGridLines="0" workbookViewId="0"/>
  </sheetViews>
  <sheetFormatPr defaultRowHeight="15.75" x14ac:dyDescent="0.25"/>
  <cols>
    <col min="1" max="1" width="40.625" customWidth="1"/>
    <col min="2" max="3" width="9.875" customWidth="1"/>
    <col min="6" max="6" width="10" bestFit="1" customWidth="1"/>
  </cols>
  <sheetData>
    <row r="1" spans="1:5" ht="18.75" x14ac:dyDescent="0.3">
      <c r="A1" s="554" t="s">
        <v>402</v>
      </c>
      <c r="E1" s="555" t="s">
        <v>290</v>
      </c>
    </row>
    <row r="2" spans="1:5" ht="20.25" customHeight="1" x14ac:dyDescent="0.25">
      <c r="A2" s="3" t="s">
        <v>272</v>
      </c>
    </row>
    <row r="3" spans="1:5" ht="18" customHeight="1" x14ac:dyDescent="0.25">
      <c r="A3" s="159" t="s">
        <v>60</v>
      </c>
    </row>
    <row r="4" spans="1:5" x14ac:dyDescent="0.25">
      <c r="A4" s="106" t="s">
        <v>179</v>
      </c>
      <c r="B4" s="373">
        <f>'5 Leasing - WACC před leas. '!B4</f>
        <v>0.13</v>
      </c>
    </row>
    <row r="5" spans="1:5" x14ac:dyDescent="0.25">
      <c r="A5" s="285"/>
      <c r="B5" s="288">
        <f>rok+1</f>
        <v>2023</v>
      </c>
      <c r="C5" s="288">
        <f>B5+1</f>
        <v>2024</v>
      </c>
      <c r="D5" s="288">
        <f>C5+1</f>
        <v>2025</v>
      </c>
      <c r="E5" s="288">
        <f>D5+1</f>
        <v>2026</v>
      </c>
    </row>
    <row r="6" spans="1:5" x14ac:dyDescent="0.25">
      <c r="A6" s="40" t="s">
        <v>152</v>
      </c>
      <c r="B6" s="160">
        <f>'1 Výsledovka'!C4</f>
        <v>0.19</v>
      </c>
      <c r="C6" s="160">
        <f>'1 Výsledovka'!D4</f>
        <v>0.19</v>
      </c>
      <c r="D6" s="160">
        <f>'1 Výsledovka'!E4</f>
        <v>0.19</v>
      </c>
      <c r="E6" s="160">
        <f>D6</f>
        <v>0.19</v>
      </c>
    </row>
    <row r="7" spans="1:5" ht="19.5" customHeight="1" x14ac:dyDescent="0.25">
      <c r="A7" s="286" t="s">
        <v>65</v>
      </c>
      <c r="B7" s="126"/>
      <c r="C7" s="126"/>
      <c r="D7" s="126"/>
      <c r="E7" s="126"/>
    </row>
    <row r="8" spans="1:5" x14ac:dyDescent="0.25">
      <c r="A8" s="77" t="s">
        <v>66</v>
      </c>
      <c r="B8" s="70">
        <f>'1 Pasiva'!B13</f>
        <v>8000</v>
      </c>
      <c r="C8" s="70">
        <f>'1 Pasiva'!C13</f>
        <v>8000</v>
      </c>
      <c r="D8" s="70">
        <f>'1 Pasiva'!D13</f>
        <v>8000</v>
      </c>
      <c r="E8" s="70">
        <f>D8</f>
        <v>8000</v>
      </c>
    </row>
    <row r="9" spans="1:5" x14ac:dyDescent="0.25">
      <c r="A9" s="77" t="s">
        <v>67</v>
      </c>
      <c r="B9" s="70">
        <f>'1 Pasiva'!B14</f>
        <v>28773</v>
      </c>
      <c r="C9" s="70">
        <f>'1 Pasiva'!C14</f>
        <v>33307</v>
      </c>
      <c r="D9" s="70">
        <f>'1 Pasiva'!D14</f>
        <v>35796</v>
      </c>
      <c r="E9" s="70">
        <f>D9</f>
        <v>35796</v>
      </c>
    </row>
    <row r="10" spans="1:5" x14ac:dyDescent="0.25">
      <c r="A10" s="385" t="s">
        <v>68</v>
      </c>
      <c r="B10" s="386">
        <f>'5 Leasing - příprava'!B29</f>
        <v>19247.48</v>
      </c>
      <c r="C10" s="386">
        <f>'5 Leasing - příprava'!C29</f>
        <v>12712.026399999999</v>
      </c>
      <c r="D10" s="386">
        <f>'5 Leasing - příprava'!D29</f>
        <v>0.19115199999941979</v>
      </c>
      <c r="E10" s="386">
        <f>'5 Leasing - příprava'!E29</f>
        <v>0.22555935999931534</v>
      </c>
    </row>
    <row r="11" spans="1:5" x14ac:dyDescent="0.25">
      <c r="A11" s="127" t="s">
        <v>288</v>
      </c>
      <c r="B11" s="128">
        <f>SUM(B8:B10)</f>
        <v>56020.479999999996</v>
      </c>
      <c r="C11" s="128">
        <f>SUM(C8:C10)</f>
        <v>54019.026400000002</v>
      </c>
      <c r="D11" s="128">
        <f>SUM(D8:D10)</f>
        <v>43796.191151999999</v>
      </c>
      <c r="E11" s="128">
        <f>SUM(E8:E10)</f>
        <v>43796.225559359998</v>
      </c>
    </row>
    <row r="12" spans="1:5" x14ac:dyDescent="0.25">
      <c r="A12" s="77" t="s">
        <v>244</v>
      </c>
      <c r="B12" s="161">
        <f t="shared" ref="B12:E14" si="0">B8/B$11</f>
        <v>0.14280491705890419</v>
      </c>
      <c r="C12" s="161">
        <f t="shared" si="0"/>
        <v>0.14809596790511573</v>
      </c>
      <c r="D12" s="161">
        <f t="shared" si="0"/>
        <v>0.18266428631282178</v>
      </c>
      <c r="E12" s="161">
        <f t="shared" si="0"/>
        <v>0.18266414280739915</v>
      </c>
    </row>
    <row r="13" spans="1:5" x14ac:dyDescent="0.25">
      <c r="A13" s="77" t="s">
        <v>71</v>
      </c>
      <c r="B13" s="161">
        <f t="shared" si="0"/>
        <v>0.51361573481698131</v>
      </c>
      <c r="C13" s="161">
        <f t="shared" si="0"/>
        <v>0.61657905037696126</v>
      </c>
      <c r="D13" s="161">
        <f t="shared" si="0"/>
        <v>0.81733134910672112</v>
      </c>
      <c r="E13" s="161">
        <f t="shared" si="0"/>
        <v>0.81733070699170751</v>
      </c>
    </row>
    <row r="14" spans="1:5" x14ac:dyDescent="0.25">
      <c r="A14" s="77" t="s">
        <v>72</v>
      </c>
      <c r="B14" s="161">
        <f t="shared" si="0"/>
        <v>0.34357934812411461</v>
      </c>
      <c r="C14" s="161">
        <f t="shared" si="0"/>
        <v>0.23532498171792296</v>
      </c>
      <c r="D14" s="215">
        <f t="shared" si="0"/>
        <v>4.3645804571453155E-6</v>
      </c>
      <c r="E14" s="215">
        <f t="shared" si="0"/>
        <v>5.1502008933075619E-6</v>
      </c>
    </row>
    <row r="15" spans="1:5" x14ac:dyDescent="0.25">
      <c r="A15" s="87" t="s">
        <v>245</v>
      </c>
      <c r="B15" s="162">
        <f>'1 Výsledovka'!$B$22</f>
        <v>0.04</v>
      </c>
      <c r="C15" s="162">
        <f t="shared" ref="C15:E16" si="1">B15</f>
        <v>0.04</v>
      </c>
      <c r="D15" s="162">
        <f t="shared" si="1"/>
        <v>0.04</v>
      </c>
      <c r="E15" s="162">
        <f t="shared" si="1"/>
        <v>0.04</v>
      </c>
    </row>
    <row r="16" spans="1:5" x14ac:dyDescent="0.25">
      <c r="A16" s="77" t="s">
        <v>71</v>
      </c>
      <c r="B16" s="161">
        <f>'1 Výsledovka'!$B$23</f>
        <v>0.05</v>
      </c>
      <c r="C16" s="161">
        <f t="shared" si="1"/>
        <v>0.05</v>
      </c>
      <c r="D16" s="161">
        <f t="shared" si="1"/>
        <v>0.05</v>
      </c>
      <c r="E16" s="161">
        <f t="shared" si="1"/>
        <v>0.05</v>
      </c>
    </row>
    <row r="17" spans="1:5" x14ac:dyDescent="0.25">
      <c r="A17" s="385" t="s">
        <v>72</v>
      </c>
      <c r="B17" s="387">
        <f>'5 Leasing - příprava'!$B$19</f>
        <v>0.18</v>
      </c>
      <c r="C17" s="387">
        <f>'5 Leasing - příprava'!$B$19</f>
        <v>0.18</v>
      </c>
      <c r="D17" s="388">
        <v>0</v>
      </c>
      <c r="E17" s="388">
        <v>0</v>
      </c>
    </row>
    <row r="18" spans="1:5" x14ac:dyDescent="0.25">
      <c r="A18" s="77" t="s">
        <v>186</v>
      </c>
      <c r="B18" s="161">
        <f>B12*B15+B13*B16+B14*B17</f>
        <v>9.3237266085545861E-2</v>
      </c>
      <c r="C18" s="161">
        <f>C12*C15+C13*C16+C14*C17</f>
        <v>7.9111287944278824E-2</v>
      </c>
      <c r="D18" s="161">
        <f>D12*D15+D13*D16+D14*D17</f>
        <v>4.8173138907848932E-2</v>
      </c>
      <c r="E18" s="161">
        <f>E12*E15+E13*E16+E14*E17</f>
        <v>4.8173101061881343E-2</v>
      </c>
    </row>
    <row r="19" spans="1:5" x14ac:dyDescent="0.25">
      <c r="A19" s="157" t="s">
        <v>74</v>
      </c>
      <c r="B19" s="158">
        <f>B18*(1-B6)</f>
        <v>7.5522185529292157E-2</v>
      </c>
      <c r="C19" s="158">
        <f>C18*(1-C6)</f>
        <v>6.4080143234865855E-2</v>
      </c>
      <c r="D19" s="158">
        <f>D18*(1-D6)</f>
        <v>3.9020242515357635E-2</v>
      </c>
      <c r="E19" s="158">
        <f>E18*(1-E6)</f>
        <v>3.9020211860123888E-2</v>
      </c>
    </row>
    <row r="20" spans="1:5" ht="19.5" customHeight="1" x14ac:dyDescent="0.25">
      <c r="A20" s="286" t="s">
        <v>192</v>
      </c>
      <c r="B20" s="126"/>
      <c r="C20" s="126"/>
      <c r="D20" s="126"/>
      <c r="E20" s="126"/>
    </row>
    <row r="21" spans="1:5" x14ac:dyDescent="0.25">
      <c r="A21" s="212" t="s">
        <v>188</v>
      </c>
      <c r="B21" s="380">
        <f>B11*B6*B18</f>
        <v>992.40731600000004</v>
      </c>
      <c r="C21" s="380">
        <f>C11*C6*C18</f>
        <v>811.96780287999991</v>
      </c>
      <c r="D21" s="224">
        <f>D11*D6*D18</f>
        <v>400.86200000000008</v>
      </c>
      <c r="E21" s="224">
        <f>E11*E6*E18</f>
        <v>400.86200000000002</v>
      </c>
    </row>
    <row r="22" spans="1:5" x14ac:dyDescent="0.25">
      <c r="A22" s="157" t="s">
        <v>187</v>
      </c>
      <c r="B22" s="382">
        <f>(B21+C22)/(1+B18)</f>
        <v>8649.6184393724361</v>
      </c>
      <c r="C22" s="382">
        <f>(C21+D22)/(1+C18)</f>
        <v>8463.6778993426469</v>
      </c>
      <c r="D22" s="131">
        <f>(D21+E22)/(1+D18)</f>
        <v>8321.2825558251716</v>
      </c>
      <c r="E22" s="131">
        <f>E21/E18</f>
        <v>8321.2828562783998</v>
      </c>
    </row>
    <row r="23" spans="1:5" ht="19.5" customHeight="1" x14ac:dyDescent="0.25">
      <c r="A23" s="286" t="s">
        <v>75</v>
      </c>
      <c r="B23" s="126"/>
      <c r="C23" s="126"/>
      <c r="D23" s="126"/>
      <c r="E23" s="126"/>
    </row>
    <row r="24" spans="1:5" x14ac:dyDescent="0.25">
      <c r="A24" s="127" t="s">
        <v>76</v>
      </c>
      <c r="B24" s="382">
        <f ca="1">'5 Leasing - Hodnota entity'!B50</f>
        <v>133875.26730961155</v>
      </c>
      <c r="C24" s="382">
        <f ca="1">'5 Leasing - Hodnota entity'!C50</f>
        <v>138215.7149387128</v>
      </c>
      <c r="D24" s="131">
        <f ca="1">'5 Leasing - Hodnota entity'!D50</f>
        <v>146106.28439319343</v>
      </c>
      <c r="E24" s="131">
        <f ca="1">'5 Leasing - Hodnota entity'!E50</f>
        <v>148189.44191230298</v>
      </c>
    </row>
    <row r="25" spans="1:5" x14ac:dyDescent="0.25">
      <c r="A25" s="127" t="s">
        <v>77</v>
      </c>
      <c r="B25" s="384">
        <f ca="1">$B$4+($B$4-B18)*(B11-B22)/B24</f>
        <v>0.14300824576375479</v>
      </c>
      <c r="C25" s="384">
        <f ca="1">$B$4+($B$4-C18)*(C11-C22)/C24</f>
        <v>0.14677271657188862</v>
      </c>
      <c r="D25" s="214">
        <f ca="1">$B$4+($B$4-D18)*(D11-D22)/D24</f>
        <v>0.1498677314258714</v>
      </c>
      <c r="E25" s="214">
        <f ca="1">$B$4+($B$4-E18)*(E11-E22)/E24</f>
        <v>0.14958847077053208</v>
      </c>
    </row>
    <row r="26" spans="1:5" ht="19.5" customHeight="1" x14ac:dyDescent="0.25">
      <c r="A26" s="286" t="s">
        <v>78</v>
      </c>
      <c r="B26" s="126"/>
      <c r="C26" s="126"/>
      <c r="D26" s="126"/>
      <c r="E26" s="126"/>
    </row>
    <row r="27" spans="1:5" x14ac:dyDescent="0.25">
      <c r="A27" s="78" t="s">
        <v>79</v>
      </c>
      <c r="B27" s="69">
        <f ca="1">B11+B24</f>
        <v>189895.74730961153</v>
      </c>
      <c r="C27" s="69">
        <f ca="1">C11+C24</f>
        <v>192234.7413387128</v>
      </c>
      <c r="D27" s="69">
        <f ca="1">D11+D24</f>
        <v>189902.47554519342</v>
      </c>
      <c r="E27" s="69">
        <f ca="1">E11+E24</f>
        <v>191985.66747166298</v>
      </c>
    </row>
    <row r="28" spans="1:5" x14ac:dyDescent="0.25">
      <c r="A28" s="78" t="s">
        <v>80</v>
      </c>
      <c r="B28" s="141">
        <f ca="1">B11/B27</f>
        <v>0.2950065011654136</v>
      </c>
      <c r="C28" s="141">
        <f ca="1">C11/C27</f>
        <v>0.28100553533567502</v>
      </c>
      <c r="D28" s="141">
        <f ca="1">D11/D27</f>
        <v>0.23062464576233122</v>
      </c>
      <c r="E28" s="141">
        <f ca="1">E11/E27</f>
        <v>0.22812237046718245</v>
      </c>
    </row>
    <row r="29" spans="1:5" x14ac:dyDescent="0.25">
      <c r="A29" s="78" t="s">
        <v>81</v>
      </c>
      <c r="B29" s="141">
        <f ca="1">B24/B27</f>
        <v>0.70499349883458651</v>
      </c>
      <c r="C29" s="141">
        <f ca="1">C24/C27</f>
        <v>0.71899446466432504</v>
      </c>
      <c r="D29" s="141">
        <f ca="1">D24/D27</f>
        <v>0.7693753542376689</v>
      </c>
      <c r="E29" s="141">
        <f ca="1">E24/E27</f>
        <v>0.77187762953281758</v>
      </c>
    </row>
    <row r="30" spans="1:5" ht="19.5" customHeight="1" x14ac:dyDescent="0.25">
      <c r="A30" s="286" t="s">
        <v>82</v>
      </c>
      <c r="B30" s="126"/>
      <c r="C30" s="126"/>
      <c r="D30" s="126"/>
      <c r="E30" s="126"/>
    </row>
    <row r="31" spans="1:5" x14ac:dyDescent="0.25">
      <c r="A31" s="157" t="s">
        <v>82</v>
      </c>
      <c r="B31" s="163">
        <f ca="1">B19*B28+B25*B29</f>
        <v>0.12309941925654763</v>
      </c>
      <c r="C31" s="163">
        <f ca="1">C19*C28+C25*C29</f>
        <v>0.12353564573303397</v>
      </c>
      <c r="D31" s="163">
        <f ca="1">D19*D28+D25*D29</f>
        <v>0.12430356856224023</v>
      </c>
      <c r="E31" s="163">
        <f ca="1">E19*E28+E25*E29</f>
        <v>0.12436537744946061</v>
      </c>
    </row>
    <row r="34" spans="1:5" x14ac:dyDescent="0.25">
      <c r="A34" s="1"/>
      <c r="B34" s="211"/>
      <c r="C34" s="211"/>
      <c r="D34" s="211"/>
      <c r="E34" s="211"/>
    </row>
  </sheetData>
  <phoneticPr fontId="0" type="noConversion"/>
  <hyperlinks>
    <hyperlink ref="E1" location="Obsah!A1" display="Skok na obsah" xr:uid="{00000000-0004-0000-1B00-000000000000}"/>
  </hyperlinks>
  <printOptions gridLinesSet="0"/>
  <pageMargins left="0.78740157480314965" right="0.78740157480314965" top="0.98425196850393704" bottom="0.78740157480314965" header="0.51181102362204722" footer="0.51181102362204722"/>
  <pageSetup paperSize="9" orientation="portrait" r:id="rId1"/>
  <headerFooter alignWithMargins="0">
    <oddHeader>&amp;L&amp;"Arial CE,Obyčejné"&amp;10Mařík, M. a kol.: Metody oceňování podniku pro pokročilé
Ekopress 2023&amp;R&amp;"Arial CE,Obyčejné"&amp;10Příklad: Vzájemná shoda metod DCF a EVA</oddHeader>
    <oddFooter>&amp;C&amp;"Arial CE,Obyčejné"&amp;10&amp;A - str. &amp;P&amp;R&amp;"Arial CE,Obyčejné"&amp;10©  Miloš Mařík, Pavla Maříková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indexed="43"/>
    <pageSetUpPr fitToPage="1"/>
  </sheetPr>
  <dimension ref="A1:M101"/>
  <sheetViews>
    <sheetView showGridLines="0" workbookViewId="0"/>
  </sheetViews>
  <sheetFormatPr defaultRowHeight="15.75" x14ac:dyDescent="0.25"/>
  <cols>
    <col min="1" max="1" width="40.625" customWidth="1"/>
    <col min="2" max="5" width="8.625" customWidth="1"/>
    <col min="6" max="6" width="12.25" customWidth="1"/>
    <col min="7" max="7" width="9.5" customWidth="1"/>
    <col min="8" max="8" width="9.625" customWidth="1"/>
    <col min="9" max="10" width="9.25" customWidth="1"/>
  </cols>
  <sheetData>
    <row r="1" spans="1:5" ht="18.75" x14ac:dyDescent="0.3">
      <c r="A1" s="554" t="s">
        <v>402</v>
      </c>
      <c r="E1" s="555" t="s">
        <v>290</v>
      </c>
    </row>
    <row r="2" spans="1:5" ht="20.25" customHeight="1" x14ac:dyDescent="0.25">
      <c r="A2" s="3" t="s">
        <v>236</v>
      </c>
    </row>
    <row r="3" spans="1:5" x14ac:dyDescent="0.25">
      <c r="A3" s="130" t="str">
        <f>"Výsledky hospodaření v roce "&amp;FIXED(rok+4,0,1)&amp;" budou stejné jako v roce "&amp;FIXED(rok+3,0,1)&amp;", ale již se v nich"</f>
        <v>Výsledky hospodaření v roce 2026 budou stejné jako v roce 2025, ale již se v nich</v>
      </c>
    </row>
    <row r="4" spans="1:5" x14ac:dyDescent="0.25">
      <c r="A4" s="130" t="s">
        <v>83</v>
      </c>
    </row>
    <row r="5" spans="1:5" x14ac:dyDescent="0.25">
      <c r="A5" s="165" t="s">
        <v>152</v>
      </c>
      <c r="B5" s="164">
        <f>'1 Společné úpravy - WACC'!B6</f>
        <v>0.19</v>
      </c>
      <c r="C5" s="164">
        <f>'1 Společné úpravy - WACC'!C6</f>
        <v>0.19</v>
      </c>
      <c r="D5" s="164">
        <f>'1 Společné úpravy - WACC'!D6</f>
        <v>0.19</v>
      </c>
      <c r="E5" s="164">
        <f>'1 Společné úpravy - WACC'!E6</f>
        <v>0.19</v>
      </c>
    </row>
    <row r="6" spans="1:5" x14ac:dyDescent="0.25">
      <c r="A6" s="134"/>
      <c r="B6" s="332"/>
      <c r="C6" s="332"/>
      <c r="D6" s="332"/>
      <c r="E6" s="332"/>
    </row>
    <row r="7" spans="1:5" x14ac:dyDescent="0.25">
      <c r="A7" s="2" t="s">
        <v>234</v>
      </c>
    </row>
    <row r="8" spans="1:5" ht="31.5" x14ac:dyDescent="0.25">
      <c r="A8" s="301"/>
      <c r="B8" s="302">
        <f>rok+1</f>
        <v>2023</v>
      </c>
      <c r="C8" s="302">
        <f>B8+1</f>
        <v>2024</v>
      </c>
      <c r="D8" s="302">
        <f>C8+1</f>
        <v>2025</v>
      </c>
      <c r="E8" s="300" t="str">
        <f>FIXED(D8+1,0,1)&amp;" 2.fáze"</f>
        <v>2026 2.fáze</v>
      </c>
    </row>
    <row r="9" spans="1:5" x14ac:dyDescent="0.25">
      <c r="A9" s="88" t="s">
        <v>114</v>
      </c>
      <c r="B9" s="133">
        <f>'2 Rezervy - Výsledovka'!C10</f>
        <v>23884.600000000006</v>
      </c>
      <c r="C9" s="133">
        <f>'2 Rezervy - Výsledovka'!D10</f>
        <v>23966</v>
      </c>
      <c r="D9" s="133">
        <f>'2 Rezervy - Výsledovka'!E10</f>
        <v>29477</v>
      </c>
      <c r="E9" s="133">
        <f>'2 Rezervy - Výsledovka'!E10+'2 Rezervy - Výsledovka'!E8</f>
        <v>29477</v>
      </c>
    </row>
    <row r="10" spans="1:5" x14ac:dyDescent="0.25">
      <c r="A10" s="176" t="s">
        <v>169</v>
      </c>
      <c r="B10" s="166">
        <f>'2 Rezervy - Výsledovka'!C8</f>
        <v>100</v>
      </c>
      <c r="C10" s="166">
        <f>'2 Rezervy - Výsledovka'!D8</f>
        <v>-500</v>
      </c>
      <c r="D10" s="166">
        <f>'2 Rezervy - Výsledovka'!E8</f>
        <v>0</v>
      </c>
      <c r="E10" s="136">
        <v>0</v>
      </c>
    </row>
    <row r="11" spans="1:5" x14ac:dyDescent="0.25">
      <c r="A11" s="176" t="s">
        <v>168</v>
      </c>
      <c r="B11" s="166">
        <f>'4 Goodwill - příprava'!P11</f>
        <v>500</v>
      </c>
      <c r="C11" s="166">
        <f>'4 Goodwill - příprava'!Q11</f>
        <v>500</v>
      </c>
      <c r="D11" s="136">
        <v>0</v>
      </c>
      <c r="E11" s="136">
        <v>0</v>
      </c>
    </row>
    <row r="12" spans="1:5" x14ac:dyDescent="0.25">
      <c r="A12" s="370" t="s">
        <v>200</v>
      </c>
      <c r="B12" s="166">
        <f>'3 Marketing - příprava'!C11</f>
        <v>3600</v>
      </c>
      <c r="C12" s="136">
        <f>'3 Marketing - příprava'!D11</f>
        <v>0</v>
      </c>
      <c r="D12" s="136">
        <f>'3 Marketing - příprava'!E11</f>
        <v>0</v>
      </c>
      <c r="E12" s="136">
        <v>0</v>
      </c>
    </row>
    <row r="13" spans="1:5" x14ac:dyDescent="0.25">
      <c r="A13" s="371" t="s">
        <v>201</v>
      </c>
      <c r="B13" s="133">
        <f>-'3 Marketing - příprava'!C14</f>
        <v>-2030</v>
      </c>
      <c r="C13" s="81">
        <f>-'3 Marketing - příprava'!D14</f>
        <v>-2030</v>
      </c>
      <c r="D13" s="81">
        <f>-'3 Marketing - příprava'!E14</f>
        <v>-1200</v>
      </c>
      <c r="E13" s="81">
        <v>0</v>
      </c>
    </row>
    <row r="14" spans="1:5" x14ac:dyDescent="0.25">
      <c r="A14" s="463" t="s">
        <v>174</v>
      </c>
      <c r="B14" s="464">
        <f>'5 Leasing - příprava'!C34</f>
        <v>10000</v>
      </c>
      <c r="C14" s="464">
        <f>'5 Leasing - příprava'!D34</f>
        <v>10000</v>
      </c>
      <c r="D14" s="464">
        <f>'5 Leasing - příprava'!E34</f>
        <v>5000</v>
      </c>
      <c r="E14" s="337">
        <v>0</v>
      </c>
    </row>
    <row r="15" spans="1:5" x14ac:dyDescent="0.25">
      <c r="A15" s="333" t="s">
        <v>173</v>
      </c>
      <c r="B15" s="334">
        <f>-'5 Leasing - příprava'!C31</f>
        <v>-6196.5</v>
      </c>
      <c r="C15" s="334">
        <f>-'5 Leasing - příprava'!D31</f>
        <v>-6196.5</v>
      </c>
      <c r="D15" s="334">
        <f>-'5 Leasing - příprava'!E31</f>
        <v>-6196.5</v>
      </c>
      <c r="E15" s="334">
        <f>-'5 Leasing - příprava'!F31</f>
        <v>0</v>
      </c>
    </row>
    <row r="16" spans="1:5" x14ac:dyDescent="0.25">
      <c r="A16" s="89" t="s">
        <v>249</v>
      </c>
      <c r="B16" s="167">
        <f>SUM(B9:B15)</f>
        <v>29858.100000000006</v>
      </c>
      <c r="C16" s="167">
        <f>SUM(C9:C15)</f>
        <v>25739.5</v>
      </c>
      <c r="D16" s="167">
        <f>SUM(D9:D15)</f>
        <v>27080.5</v>
      </c>
      <c r="E16" s="167">
        <f>SUM(E9:E15)</f>
        <v>29477</v>
      </c>
    </row>
    <row r="17" spans="1:6" x14ac:dyDescent="0.25">
      <c r="A17" s="333" t="s">
        <v>277</v>
      </c>
      <c r="B17" s="334">
        <f>'1 Společné úpravy - Hodnota'!B10+'5 Leasing - příprava'!C26*B5</f>
        <v>5215.3378160000011</v>
      </c>
      <c r="C17" s="334">
        <f>'1 Společné úpravy - Hodnota'!C10+'5 Leasing - příprava'!D26*C5</f>
        <v>4893.2913028800003</v>
      </c>
      <c r="D17" s="133">
        <f>'1 Společné úpravy - Hodnota'!D10+'5 Leasing - příprava'!E26*D5</f>
        <v>5600.6365373983999</v>
      </c>
      <c r="E17" s="133">
        <f>'1 Společné úpravy - Hodnota'!E10+'5 Leasing - příprava'!F26*E5</f>
        <v>5600.63</v>
      </c>
      <c r="F17" s="205"/>
    </row>
    <row r="18" spans="1:6" x14ac:dyDescent="0.25">
      <c r="A18" s="303" t="s">
        <v>248</v>
      </c>
      <c r="B18" s="304">
        <f>B16-B17</f>
        <v>24642.762184000007</v>
      </c>
      <c r="C18" s="305">
        <f>C16-C17</f>
        <v>20846.208697120001</v>
      </c>
      <c r="D18" s="305">
        <f>D16-D17</f>
        <v>21479.863462601599</v>
      </c>
      <c r="E18" s="305">
        <f>E16-E17</f>
        <v>23876.37</v>
      </c>
      <c r="F18" s="205"/>
    </row>
    <row r="19" spans="1:6" x14ac:dyDescent="0.25">
      <c r="B19" s="108"/>
      <c r="F19" s="205"/>
    </row>
    <row r="20" spans="1:6" x14ac:dyDescent="0.25">
      <c r="A20" s="2" t="s">
        <v>235</v>
      </c>
      <c r="F20" s="205"/>
    </row>
    <row r="21" spans="1:6" ht="31.5" x14ac:dyDescent="0.25">
      <c r="A21" s="301"/>
      <c r="B21" s="302">
        <f>rok+1</f>
        <v>2023</v>
      </c>
      <c r="C21" s="302">
        <f>B21+1</f>
        <v>2024</v>
      </c>
      <c r="D21" s="302">
        <f>C21+1</f>
        <v>2025</v>
      </c>
      <c r="E21" s="300" t="str">
        <f>FIXED(D21+1,0,1)&amp;" 2.fáze"</f>
        <v>2026 2.fáze</v>
      </c>
      <c r="F21" s="205"/>
    </row>
    <row r="22" spans="1:6" x14ac:dyDescent="0.25">
      <c r="A22" s="88" t="s">
        <v>114</v>
      </c>
      <c r="B22" s="133">
        <f>'2 Rezervy - Výsledovka'!C10</f>
        <v>23884.600000000006</v>
      </c>
      <c r="C22" s="133">
        <f>'2 Rezervy - Výsledovka'!D10</f>
        <v>23966</v>
      </c>
      <c r="D22" s="133">
        <f>'2 Rezervy - Výsledovka'!E10</f>
        <v>29477</v>
      </c>
      <c r="E22" s="81">
        <f>D22</f>
        <v>29477</v>
      </c>
      <c r="F22" s="205"/>
    </row>
    <row r="23" spans="1:6" x14ac:dyDescent="0.25">
      <c r="A23" s="176" t="s">
        <v>168</v>
      </c>
      <c r="B23" s="166">
        <f>'4 Goodwill - příprava'!P11</f>
        <v>500</v>
      </c>
      <c r="C23" s="166">
        <f>'4 Goodwill - příprava'!Q11</f>
        <v>500</v>
      </c>
      <c r="D23" s="166">
        <v>0</v>
      </c>
      <c r="E23" s="136">
        <v>0</v>
      </c>
      <c r="F23" s="205"/>
    </row>
    <row r="24" spans="1:6" x14ac:dyDescent="0.25">
      <c r="A24" s="135" t="str">
        <f>A12</f>
        <v>Marketing – původní výdaj vrácený k zisku</v>
      </c>
      <c r="B24" s="166">
        <f>'3 Marketing - příprava'!C11</f>
        <v>3600</v>
      </c>
      <c r="C24" s="166">
        <f>'3 Marketing - příprava'!D11</f>
        <v>0</v>
      </c>
      <c r="D24" s="166">
        <f>'3 Marketing - příprava'!E11</f>
        <v>0</v>
      </c>
      <c r="E24" s="136">
        <v>0</v>
      </c>
      <c r="F24" s="205"/>
    </row>
    <row r="25" spans="1:6" x14ac:dyDescent="0.25">
      <c r="A25" s="88" t="str">
        <f>A13</f>
        <v>Marketing – odpisy započítaný nově do nákladů</v>
      </c>
      <c r="B25" s="133">
        <f>-'3 Marketing - příprava'!C14</f>
        <v>-2030</v>
      </c>
      <c r="C25" s="133">
        <f>-'3 Marketing - příprava'!D14</f>
        <v>-2030</v>
      </c>
      <c r="D25" s="133">
        <f>-'3 Marketing - příprava'!E14</f>
        <v>-1200</v>
      </c>
      <c r="E25" s="81">
        <v>0</v>
      </c>
      <c r="F25" s="205"/>
    </row>
    <row r="26" spans="1:6" x14ac:dyDescent="0.25">
      <c r="A26" s="463" t="s">
        <v>174</v>
      </c>
      <c r="B26" s="464">
        <f>'5 Leasing - příprava'!C34</f>
        <v>10000</v>
      </c>
      <c r="C26" s="464">
        <f>'5 Leasing - příprava'!D34</f>
        <v>10000</v>
      </c>
      <c r="D26" s="464">
        <f>'5 Leasing - příprava'!E34</f>
        <v>5000</v>
      </c>
      <c r="E26" s="464">
        <f>'5 Leasing - příprava'!F34</f>
        <v>0</v>
      </c>
      <c r="F26" s="205"/>
    </row>
    <row r="27" spans="1:6" x14ac:dyDescent="0.25">
      <c r="A27" s="333" t="s">
        <v>173</v>
      </c>
      <c r="B27" s="334">
        <f>-'5 Leasing - příprava'!C31</f>
        <v>-6196.5</v>
      </c>
      <c r="C27" s="334">
        <f>-'5 Leasing - příprava'!D31</f>
        <v>-6196.5</v>
      </c>
      <c r="D27" s="334">
        <f>-'5 Leasing - příprava'!E31</f>
        <v>-6196.5</v>
      </c>
      <c r="E27" s="334">
        <f>-'5 Leasing - příprava'!F31</f>
        <v>0</v>
      </c>
      <c r="F27" s="205"/>
    </row>
    <row r="28" spans="1:6" x14ac:dyDescent="0.25">
      <c r="A28" s="89" t="s">
        <v>101</v>
      </c>
      <c r="B28" s="167">
        <f>SUM(B22:B27)</f>
        <v>29758.100000000006</v>
      </c>
      <c r="C28" s="167">
        <f>SUM(C22:C27)</f>
        <v>26239.5</v>
      </c>
      <c r="D28" s="167">
        <f>SUM(D22:D27)</f>
        <v>27080.5</v>
      </c>
      <c r="E28" s="167">
        <f>SUM(E22:E27)</f>
        <v>29477</v>
      </c>
      <c r="F28" s="205"/>
    </row>
    <row r="29" spans="1:6" x14ac:dyDescent="0.25">
      <c r="A29" s="333" t="s">
        <v>277</v>
      </c>
      <c r="B29" s="334">
        <f>'1 Společné úpravy - Hodnota'!B10+'5 Leasing - příprava'!C26*B5</f>
        <v>5215.3378160000011</v>
      </c>
      <c r="C29" s="334">
        <f>'1 Společné úpravy - Hodnota'!C10+'5 Leasing - příprava'!D26*C5</f>
        <v>4893.2913028800003</v>
      </c>
      <c r="D29" s="133">
        <f>'1 Společné úpravy - Hodnota'!D10+'5 Leasing - příprava'!E26*D5</f>
        <v>5600.6365373983999</v>
      </c>
      <c r="E29" s="133">
        <f>'1 Společné úpravy - Hodnota'!E10+'5 Leasing - příprava'!F26*E5</f>
        <v>5600.63</v>
      </c>
      <c r="F29" s="205"/>
    </row>
    <row r="30" spans="1:6" x14ac:dyDescent="0.25">
      <c r="A30" s="303" t="s">
        <v>155</v>
      </c>
      <c r="B30" s="304">
        <f>B28-B29</f>
        <v>24542.762184000007</v>
      </c>
      <c r="C30" s="305">
        <f>C28-C29</f>
        <v>21346.208697120001</v>
      </c>
      <c r="D30" s="305">
        <f>D28-D29</f>
        <v>21479.863462601599</v>
      </c>
      <c r="E30" s="305">
        <f>E28-E29</f>
        <v>23876.37</v>
      </c>
      <c r="F30" s="205"/>
    </row>
    <row r="31" spans="1:6" x14ac:dyDescent="0.25">
      <c r="B31" s="108"/>
    </row>
    <row r="32" spans="1:6" x14ac:dyDescent="0.25">
      <c r="A32" s="3" t="s">
        <v>262</v>
      </c>
    </row>
    <row r="34" spans="1:6" x14ac:dyDescent="0.25">
      <c r="A34" s="2" t="s">
        <v>85</v>
      </c>
      <c r="C34" s="108"/>
    </row>
    <row r="35" spans="1:6" ht="31.5" x14ac:dyDescent="0.25">
      <c r="A35" s="301"/>
      <c r="B35" s="302">
        <f>rok+1</f>
        <v>2023</v>
      </c>
      <c r="C35" s="302">
        <f>B35+1</f>
        <v>2024</v>
      </c>
      <c r="D35" s="302">
        <f>C35+1</f>
        <v>2025</v>
      </c>
      <c r="E35" s="300" t="str">
        <f>FIXED(D35+1,0,1)&amp;" 2.fáze"</f>
        <v>2026 2.fáze</v>
      </c>
      <c r="F35" s="205"/>
    </row>
    <row r="36" spans="1:6" x14ac:dyDescent="0.25">
      <c r="A36" s="169" t="s">
        <v>109</v>
      </c>
      <c r="B36" s="41">
        <f>B18</f>
        <v>24642.762184000007</v>
      </c>
      <c r="C36" s="41">
        <f>C18</f>
        <v>20846.208697120001</v>
      </c>
      <c r="D36" s="41">
        <f>D18</f>
        <v>21479.863462601599</v>
      </c>
      <c r="E36" s="41">
        <f>E18</f>
        <v>23876.37</v>
      </c>
    </row>
    <row r="37" spans="1:6" x14ac:dyDescent="0.25">
      <c r="A37" s="74" t="s">
        <v>82</v>
      </c>
      <c r="B37" s="175">
        <f ca="1">'5 Leasing - WACC'!B31</f>
        <v>0.12309941925654763</v>
      </c>
      <c r="C37" s="175">
        <f ca="1">'5 Leasing - WACC'!C31</f>
        <v>0.12353564573303397</v>
      </c>
      <c r="D37" s="175">
        <f ca="1">'5 Leasing - WACC'!D31</f>
        <v>0.12430356856224023</v>
      </c>
      <c r="E37" s="175">
        <f ca="1">'5 Leasing - WACC'!E31</f>
        <v>0.12436537744946061</v>
      </c>
    </row>
    <row r="38" spans="1:6" x14ac:dyDescent="0.25">
      <c r="A38" s="74" t="s">
        <v>153</v>
      </c>
      <c r="B38" s="124">
        <f>'5 Leasing - NOA'!G25</f>
        <v>94223.1</v>
      </c>
      <c r="C38" s="124">
        <f>'5 Leasing - NOA'!H25</f>
        <v>97828.799999999988</v>
      </c>
      <c r="D38" s="124">
        <f>'5 Leasing - NOA'!I25</f>
        <v>92594.9</v>
      </c>
      <c r="E38" s="124">
        <f>'5 Leasing - NOA'!J25</f>
        <v>92552.400000000023</v>
      </c>
    </row>
    <row r="39" spans="1:6" x14ac:dyDescent="0.25">
      <c r="A39" s="107" t="s">
        <v>237</v>
      </c>
      <c r="B39" s="133">
        <f ca="1">B37*B38</f>
        <v>11598.808890551614</v>
      </c>
      <c r="C39" s="133">
        <f ca="1">C37*C38</f>
        <v>12085.343979287833</v>
      </c>
      <c r="D39" s="133">
        <f ca="1">D37*D38</f>
        <v>11509.876500663777</v>
      </c>
      <c r="E39" s="133">
        <f ca="1">E37*E38</f>
        <v>11510.31415985346</v>
      </c>
    </row>
    <row r="40" spans="1:6" x14ac:dyDescent="0.25">
      <c r="A40" s="303" t="s">
        <v>86</v>
      </c>
      <c r="B40" s="304">
        <f ca="1">B36-B39</f>
        <v>13043.953293448392</v>
      </c>
      <c r="C40" s="304">
        <f ca="1">C36-C39</f>
        <v>8760.864717832168</v>
      </c>
      <c r="D40" s="304">
        <f ca="1">D36-D39</f>
        <v>9969.9869619378223</v>
      </c>
      <c r="E40" s="304">
        <f ca="1">E36-E39</f>
        <v>12366.055840146539</v>
      </c>
    </row>
    <row r="42" spans="1:6" x14ac:dyDescent="0.25">
      <c r="A42" s="2" t="s">
        <v>90</v>
      </c>
    </row>
    <row r="43" spans="1:6" ht="31.5" x14ac:dyDescent="0.25">
      <c r="A43" s="301"/>
      <c r="B43" s="302">
        <f>rok+1</f>
        <v>2023</v>
      </c>
      <c r="C43" s="302">
        <f>B43+1</f>
        <v>2024</v>
      </c>
      <c r="D43" s="302">
        <f>C43+1</f>
        <v>2025</v>
      </c>
      <c r="E43" s="300" t="str">
        <f>FIXED(D43+1,0,1)&amp;" 2.fáze"</f>
        <v>2026 2.fáze</v>
      </c>
      <c r="F43" s="205"/>
    </row>
    <row r="44" spans="1:6" x14ac:dyDescent="0.25">
      <c r="A44" s="40" t="s">
        <v>88</v>
      </c>
      <c r="B44" s="102">
        <f ca="1">B40</f>
        <v>13043.953293448392</v>
      </c>
      <c r="C44" s="102">
        <f ca="1">C40</f>
        <v>8760.864717832168</v>
      </c>
      <c r="D44" s="102">
        <f ca="1">D40</f>
        <v>9969.9869619378223</v>
      </c>
      <c r="E44" s="102">
        <f ca="1">E40</f>
        <v>12366.055840146539</v>
      </c>
    </row>
    <row r="45" spans="1:6" x14ac:dyDescent="0.25">
      <c r="A45" s="40" t="s">
        <v>82</v>
      </c>
      <c r="B45" s="210">
        <f ca="1">'5 Leasing - WACC'!B31</f>
        <v>0.12309941925654763</v>
      </c>
      <c r="C45" s="210">
        <f ca="1">'5 Leasing - WACC'!C31</f>
        <v>0.12353564573303397</v>
      </c>
      <c r="D45" s="210">
        <f ca="1">'5 Leasing - WACC'!D31</f>
        <v>0.12430356856224023</v>
      </c>
      <c r="E45" s="210">
        <f ca="1">'5 Leasing - WACC'!E31</f>
        <v>0.12436537744946061</v>
      </c>
    </row>
    <row r="46" spans="1:6" x14ac:dyDescent="0.25">
      <c r="A46" s="477" t="s">
        <v>181</v>
      </c>
      <c r="B46" s="478">
        <f ca="1">(C46+B44)/(1+B45)</f>
        <v>95672.647309611522</v>
      </c>
      <c r="C46" s="405">
        <f ca="1">(D46+C44)/(1+C45)</f>
        <v>94405.941338712815</v>
      </c>
      <c r="D46" s="405">
        <f ca="1">(E46+D44)/(1+D45)</f>
        <v>97307.575545193453</v>
      </c>
      <c r="E46" s="405">
        <f ca="1">E44/E45</f>
        <v>99433.26747166297</v>
      </c>
      <c r="F46" s="217"/>
    </row>
    <row r="47" spans="1:6" x14ac:dyDescent="0.25">
      <c r="A47" s="466" t="s">
        <v>180</v>
      </c>
      <c r="B47" s="467">
        <f>B38</f>
        <v>94223.1</v>
      </c>
      <c r="C47" s="81">
        <f t="shared" ref="C47:E47" si="0">C38</f>
        <v>97828.799999999988</v>
      </c>
      <c r="D47" s="81">
        <f t="shared" si="0"/>
        <v>92594.9</v>
      </c>
      <c r="E47" s="81">
        <f t="shared" si="0"/>
        <v>92552.400000000023</v>
      </c>
      <c r="F47" s="108"/>
    </row>
    <row r="48" spans="1:6" x14ac:dyDescent="0.25">
      <c r="A48" s="103" t="s">
        <v>182</v>
      </c>
      <c r="B48" s="82">
        <f ca="1">B46+B47</f>
        <v>189895.74730961153</v>
      </c>
      <c r="C48" s="82">
        <f ca="1">C46+C47</f>
        <v>192234.7413387128</v>
      </c>
      <c r="D48" s="82">
        <f ca="1">D46+D47</f>
        <v>189902.47554519345</v>
      </c>
      <c r="E48" s="82">
        <f ca="1">E46+E47</f>
        <v>191985.66747166298</v>
      </c>
      <c r="F48" s="108"/>
    </row>
    <row r="49" spans="1:10" x14ac:dyDescent="0.25">
      <c r="A49" s="78" t="s">
        <v>183</v>
      </c>
      <c r="B49" s="81">
        <f>'5 Leasing - WACC'!B11</f>
        <v>56020.479999999996</v>
      </c>
      <c r="C49" s="81">
        <f>'5 Leasing - WACC'!C11</f>
        <v>54019.026400000002</v>
      </c>
      <c r="D49" s="81">
        <f>'5 Leasing - WACC'!D11</f>
        <v>43796.191151999999</v>
      </c>
      <c r="E49" s="81">
        <f>'5 Leasing - WACC'!E11</f>
        <v>43796.225559359998</v>
      </c>
      <c r="F49" s="108"/>
      <c r="G49" s="217"/>
    </row>
    <row r="50" spans="1:10" x14ac:dyDescent="0.25">
      <c r="A50" s="392" t="s">
        <v>184</v>
      </c>
      <c r="B50" s="393">
        <f ca="1">B48-B49</f>
        <v>133875.26730961155</v>
      </c>
      <c r="C50" s="393">
        <f ca="1">C48-C49</f>
        <v>138215.7149387128</v>
      </c>
      <c r="D50" s="393">
        <f ca="1">D48-D49</f>
        <v>146106.28439319343</v>
      </c>
      <c r="E50" s="393">
        <f ca="1">E48-E49</f>
        <v>148189.44191230298</v>
      </c>
    </row>
    <row r="51" spans="1:10" x14ac:dyDescent="0.25">
      <c r="A51" s="77" t="s">
        <v>98</v>
      </c>
      <c r="B51" s="124">
        <f>'5 Leasing - NOA'!G21</f>
        <v>33629.003499999999</v>
      </c>
      <c r="C51" s="108"/>
      <c r="D51" s="108"/>
      <c r="E51" s="108"/>
      <c r="G51" s="108"/>
    </row>
    <row r="52" spans="1:10" x14ac:dyDescent="0.25">
      <c r="A52" s="306" t="s">
        <v>199</v>
      </c>
      <c r="B52" s="396">
        <f ca="1">B50+B51</f>
        <v>167504.27080961154</v>
      </c>
      <c r="C52" s="209"/>
      <c r="D52" s="209"/>
      <c r="E52" s="209"/>
      <c r="F52" s="198"/>
    </row>
    <row r="54" spans="1:10" x14ac:dyDescent="0.25">
      <c r="A54" s="3" t="s">
        <v>263</v>
      </c>
    </row>
    <row r="55" spans="1:10" x14ac:dyDescent="0.25">
      <c r="A55" s="2"/>
    </row>
    <row r="56" spans="1:10" ht="31.5" x14ac:dyDescent="0.25">
      <c r="A56" s="301"/>
      <c r="B56" s="302">
        <f>rok+1</f>
        <v>2023</v>
      </c>
      <c r="C56" s="302">
        <f>B56+1</f>
        <v>2024</v>
      </c>
      <c r="D56" s="302">
        <f>C56+1</f>
        <v>2025</v>
      </c>
      <c r="E56" s="300" t="str">
        <f>FIXED(D56+1,0,1)&amp;" 2.fáze"</f>
        <v>2026 2.fáze</v>
      </c>
      <c r="F56" s="205"/>
    </row>
    <row r="57" spans="1:10" x14ac:dyDescent="0.25">
      <c r="A57" s="87" t="s">
        <v>141</v>
      </c>
      <c r="B57" s="136">
        <f>B30</f>
        <v>24542.762184000007</v>
      </c>
      <c r="C57" s="136">
        <f>C30</f>
        <v>21346.208697120001</v>
      </c>
      <c r="D57" s="136">
        <f>D30</f>
        <v>21479.863462601599</v>
      </c>
      <c r="E57" s="136">
        <f>E30</f>
        <v>23876.37</v>
      </c>
      <c r="F57" s="196"/>
    </row>
    <row r="58" spans="1:10" x14ac:dyDescent="0.25">
      <c r="A58" s="77" t="s">
        <v>142</v>
      </c>
      <c r="B58" s="79">
        <f>'5 Leasing - NOA'!H7-'5 Leasing - NOA'!G7</f>
        <v>100</v>
      </c>
      <c r="C58" s="79">
        <f>'5 Leasing - NOA'!I7-'5 Leasing - NOA'!H7</f>
        <v>-500</v>
      </c>
      <c r="D58" s="79">
        <f>'5 Leasing - NOA'!J7-'5 Leasing - NOA'!I7</f>
        <v>0</v>
      </c>
      <c r="E58" s="79">
        <v>0</v>
      </c>
      <c r="F58" s="197"/>
    </row>
    <row r="59" spans="1:10" x14ac:dyDescent="0.25">
      <c r="A59" s="78" t="s">
        <v>110</v>
      </c>
      <c r="B59" s="81">
        <f>-('5 Leasing - NOA'!H25-'5 Leasing - NOA'!G25)</f>
        <v>-3605.6999999999825</v>
      </c>
      <c r="C59" s="81">
        <f>-('5 Leasing - NOA'!I25-'5 Leasing - NOA'!H25)</f>
        <v>5233.8999999999942</v>
      </c>
      <c r="D59" s="81">
        <f>-('5 Leasing - NOA'!J25-'5 Leasing - NOA'!I25)</f>
        <v>42.499999999970896</v>
      </c>
      <c r="E59" s="81">
        <v>0</v>
      </c>
      <c r="F59" s="196"/>
    </row>
    <row r="60" spans="1:10" x14ac:dyDescent="0.25">
      <c r="A60" s="389" t="s">
        <v>111</v>
      </c>
      <c r="B60" s="305">
        <f>SUM(B57:B59)</f>
        <v>21037.062184000024</v>
      </c>
      <c r="C60" s="305">
        <f>SUM(C57:C59)</f>
        <v>26080.108697119995</v>
      </c>
      <c r="D60" s="305">
        <f>SUM(D57:D59)</f>
        <v>21522.36346260157</v>
      </c>
      <c r="E60" s="305">
        <f>SUM(E57:E59)</f>
        <v>23876.37</v>
      </c>
      <c r="G60" s="219"/>
      <c r="H60" s="219"/>
      <c r="I60" s="219"/>
      <c r="J60" s="219"/>
    </row>
    <row r="61" spans="1:10" x14ac:dyDescent="0.25">
      <c r="A61" s="78" t="s">
        <v>82</v>
      </c>
      <c r="B61" s="170">
        <f ca="1">'5 Leasing - WACC'!B31</f>
        <v>0.12309941925654763</v>
      </c>
      <c r="C61" s="170">
        <f ca="1">'5 Leasing - WACC'!C31</f>
        <v>0.12353564573303397</v>
      </c>
      <c r="D61" s="170">
        <f ca="1">'5 Leasing - WACC'!D31</f>
        <v>0.12430356856224023</v>
      </c>
      <c r="E61" s="170">
        <f ca="1">'5 Leasing - WACC'!E31</f>
        <v>0.12436537744946061</v>
      </c>
      <c r="G61" s="225"/>
      <c r="H61" s="225"/>
      <c r="I61" s="225"/>
    </row>
    <row r="62" spans="1:10" x14ac:dyDescent="0.25">
      <c r="A62" s="103" t="s">
        <v>185</v>
      </c>
      <c r="B62" s="82">
        <f ca="1">(B60+C62)/(1+B61)</f>
        <v>189895.74730961156</v>
      </c>
      <c r="C62" s="82">
        <f ca="1">(C60+D62)/(1+C61)</f>
        <v>192234.7413387128</v>
      </c>
      <c r="D62" s="82">
        <f ca="1">(D60+E62)/(1+D61)</f>
        <v>189902.47554519345</v>
      </c>
      <c r="E62" s="82">
        <f ca="1">E60/E61</f>
        <v>191985.66747166298</v>
      </c>
      <c r="G62" s="225"/>
      <c r="H62" s="225"/>
      <c r="I62" s="225"/>
    </row>
    <row r="63" spans="1:10" x14ac:dyDescent="0.25">
      <c r="A63" s="78" t="s">
        <v>183</v>
      </c>
      <c r="B63" s="81">
        <f>'5 Leasing - WACC'!B11</f>
        <v>56020.479999999996</v>
      </c>
      <c r="C63" s="81">
        <f>'5 Leasing - WACC'!C11</f>
        <v>54019.026400000002</v>
      </c>
      <c r="D63" s="81">
        <f>'5 Leasing - WACC'!D11</f>
        <v>43796.191151999999</v>
      </c>
      <c r="E63" s="81">
        <f>'5 Leasing - WACC'!E11</f>
        <v>43796.225559359998</v>
      </c>
      <c r="G63" s="225"/>
      <c r="H63" s="225"/>
      <c r="I63" s="225"/>
    </row>
    <row r="64" spans="1:10" x14ac:dyDescent="0.25">
      <c r="A64" s="392" t="s">
        <v>184</v>
      </c>
      <c r="B64" s="393">
        <f ca="1">B62-B63</f>
        <v>133875.26730961155</v>
      </c>
      <c r="C64" s="393">
        <f ca="1">C62-C63</f>
        <v>138215.7149387128</v>
      </c>
      <c r="D64" s="393">
        <f ca="1">D62-D63</f>
        <v>146106.28439319343</v>
      </c>
      <c r="E64" s="393">
        <f ca="1">E62-E63</f>
        <v>148189.44191230298</v>
      </c>
      <c r="G64" s="219"/>
      <c r="H64" s="219"/>
      <c r="I64" s="219"/>
      <c r="J64" s="219"/>
    </row>
    <row r="65" spans="1:11" x14ac:dyDescent="0.25">
      <c r="A65" s="77" t="s">
        <v>98</v>
      </c>
      <c r="B65" s="124">
        <f>'5 Leasing - NOA'!G21</f>
        <v>33629.003499999999</v>
      </c>
      <c r="F65" s="1"/>
      <c r="G65" s="217"/>
      <c r="K65" s="108"/>
    </row>
    <row r="66" spans="1:11" x14ac:dyDescent="0.25">
      <c r="A66" s="306" t="s">
        <v>199</v>
      </c>
      <c r="B66" s="396">
        <f ca="1">B64+B65</f>
        <v>167504.27080961154</v>
      </c>
      <c r="C66" s="199"/>
    </row>
    <row r="67" spans="1:11" x14ac:dyDescent="0.25">
      <c r="G67" s="108"/>
      <c r="H67" s="108"/>
      <c r="I67" s="108"/>
      <c r="J67" s="108"/>
    </row>
    <row r="68" spans="1:11" x14ac:dyDescent="0.25">
      <c r="A68" s="2" t="s">
        <v>273</v>
      </c>
      <c r="B68" s="108"/>
      <c r="G68" s="225"/>
      <c r="H68" s="225"/>
      <c r="I68" s="225"/>
    </row>
    <row r="69" spans="1:11" ht="33" customHeight="1" x14ac:dyDescent="0.25">
      <c r="A69" s="475" t="str">
        <f>"Údaj k 1. 1. "&amp;FIXED(rok+1,0,1)&amp;", tis. Kč"</f>
        <v>Údaj k 1. 1. 2023, tis. Kč</v>
      </c>
      <c r="B69" s="302" t="s">
        <v>202</v>
      </c>
      <c r="C69" s="302" t="s">
        <v>203</v>
      </c>
      <c r="D69" s="302" t="s">
        <v>135</v>
      </c>
      <c r="G69" s="225"/>
      <c r="H69" s="225"/>
      <c r="I69" s="225"/>
    </row>
    <row r="70" spans="1:11" x14ac:dyDescent="0.25">
      <c r="A70" s="479" t="s">
        <v>94</v>
      </c>
      <c r="B70" s="480">
        <f ca="1">'5 Leasing - Hodnota před leas.'!B42</f>
        <v>94178.423700987492</v>
      </c>
      <c r="C70" s="480">
        <f ca="1">B46</f>
        <v>95672.647309611522</v>
      </c>
      <c r="D70" s="480">
        <f t="shared" ref="D70:D75" ca="1" si="1">C70-B70</f>
        <v>1494.22360862403</v>
      </c>
      <c r="G70" s="220"/>
      <c r="H70" s="220"/>
      <c r="I70" s="220"/>
    </row>
    <row r="71" spans="1:11" x14ac:dyDescent="0.25">
      <c r="A71" s="470" t="s">
        <v>157</v>
      </c>
      <c r="B71" s="471">
        <f>'5 Leasing - Hodnota před leas.'!B43</f>
        <v>75633.600000000006</v>
      </c>
      <c r="C71" s="471">
        <f>B47</f>
        <v>94223.1</v>
      </c>
      <c r="D71" s="481">
        <f t="shared" si="1"/>
        <v>18589.5</v>
      </c>
      <c r="F71" s="1"/>
      <c r="G71" s="221"/>
      <c r="H71" s="220"/>
      <c r="I71" s="220"/>
    </row>
    <row r="72" spans="1:11" x14ac:dyDescent="0.25">
      <c r="A72" s="468" t="s">
        <v>204</v>
      </c>
      <c r="B72" s="469">
        <f ca="1">'5 Leasing - Hodnota před leas.'!B44</f>
        <v>169812.02370098751</v>
      </c>
      <c r="C72" s="469">
        <f ca="1">B48</f>
        <v>189895.74730961153</v>
      </c>
      <c r="D72" s="469">
        <f t="shared" ca="1" si="1"/>
        <v>20083.723608624015</v>
      </c>
    </row>
    <row r="73" spans="1:11" x14ac:dyDescent="0.25">
      <c r="A73" s="470" t="s">
        <v>205</v>
      </c>
      <c r="B73" s="471">
        <f>'5 Leasing - Hodnota před leas.'!B45</f>
        <v>36773</v>
      </c>
      <c r="C73" s="471">
        <f>B49</f>
        <v>56020.479999999996</v>
      </c>
      <c r="D73" s="481">
        <f t="shared" si="1"/>
        <v>19247.479999999996</v>
      </c>
    </row>
    <row r="74" spans="1:11" x14ac:dyDescent="0.25">
      <c r="A74" s="472" t="s">
        <v>206</v>
      </c>
      <c r="B74" s="473">
        <f ca="1">'5 Leasing - Hodnota před leas.'!B46</f>
        <v>133039.02370098751</v>
      </c>
      <c r="C74" s="473">
        <f ca="1">B50</f>
        <v>133875.26730961155</v>
      </c>
      <c r="D74" s="474">
        <f t="shared" ca="1" si="1"/>
        <v>836.2436086240341</v>
      </c>
      <c r="E74" s="108"/>
      <c r="G74" s="220"/>
      <c r="H74" s="220"/>
      <c r="I74" s="200"/>
    </row>
    <row r="75" spans="1:11" x14ac:dyDescent="0.25">
      <c r="A75" s="306" t="s">
        <v>199</v>
      </c>
      <c r="B75" s="476">
        <f ca="1">'5 Leasing - Hodnota před leas.'!B48</f>
        <v>166668.0272009875</v>
      </c>
      <c r="C75" s="476">
        <f ca="1">B52</f>
        <v>167504.27080961154</v>
      </c>
      <c r="D75" s="476">
        <f t="shared" ca="1" si="1"/>
        <v>836.2436086240341</v>
      </c>
      <c r="G75" s="220"/>
      <c r="H75" s="220"/>
    </row>
    <row r="77" spans="1:11" x14ac:dyDescent="0.25">
      <c r="G77" s="220"/>
      <c r="H77" s="220"/>
    </row>
    <row r="78" spans="1:11" x14ac:dyDescent="0.25">
      <c r="B78" s="108"/>
      <c r="C78" s="108"/>
      <c r="D78" s="108"/>
      <c r="F78" s="1"/>
      <c r="G78" s="221"/>
    </row>
    <row r="79" spans="1:11" x14ac:dyDescent="0.25">
      <c r="F79" s="222"/>
      <c r="G79" s="465"/>
    </row>
    <row r="81" spans="5:9" x14ac:dyDescent="0.25">
      <c r="E81" s="222"/>
      <c r="G81" s="220"/>
      <c r="H81" s="220"/>
      <c r="I81" s="220"/>
    </row>
    <row r="82" spans="5:9" x14ac:dyDescent="0.25">
      <c r="F82" s="1"/>
      <c r="G82" s="217"/>
    </row>
    <row r="83" spans="5:9" x14ac:dyDescent="0.25">
      <c r="G83" s="465"/>
    </row>
    <row r="84" spans="5:9" x14ac:dyDescent="0.25">
      <c r="G84" s="217"/>
    </row>
    <row r="85" spans="5:9" x14ac:dyDescent="0.25">
      <c r="G85" s="465"/>
    </row>
    <row r="87" spans="5:9" x14ac:dyDescent="0.25">
      <c r="G87" s="108"/>
    </row>
    <row r="88" spans="5:9" x14ac:dyDescent="0.25">
      <c r="G88" s="108"/>
    </row>
    <row r="91" spans="5:9" x14ac:dyDescent="0.25">
      <c r="E91" s="222"/>
    </row>
    <row r="92" spans="5:9" x14ac:dyDescent="0.25">
      <c r="G92" s="225"/>
      <c r="H92" s="225"/>
    </row>
    <row r="93" spans="5:9" x14ac:dyDescent="0.25">
      <c r="G93" s="220"/>
      <c r="H93" s="220"/>
    </row>
    <row r="94" spans="5:9" x14ac:dyDescent="0.25">
      <c r="F94" s="1"/>
      <c r="G94" s="217"/>
    </row>
    <row r="96" spans="5:9" x14ac:dyDescent="0.25">
      <c r="G96" s="220"/>
      <c r="H96" s="220"/>
    </row>
    <row r="97" spans="6:13" x14ac:dyDescent="0.25">
      <c r="G97" s="225"/>
      <c r="H97" s="225"/>
    </row>
    <row r="98" spans="6:13" x14ac:dyDescent="0.25">
      <c r="G98" s="220"/>
      <c r="H98" s="220"/>
    </row>
    <row r="99" spans="6:13" x14ac:dyDescent="0.25">
      <c r="F99" s="1"/>
      <c r="G99" s="217"/>
    </row>
    <row r="100" spans="6:13" x14ac:dyDescent="0.25">
      <c r="M100" s="228"/>
    </row>
    <row r="101" spans="6:13" x14ac:dyDescent="0.25">
      <c r="G101" s="217"/>
    </row>
  </sheetData>
  <phoneticPr fontId="0" type="noConversion"/>
  <hyperlinks>
    <hyperlink ref="E1" location="Obsah!A1" display="Skok na obsah" xr:uid="{00000000-0004-0000-1C00-000000000000}"/>
  </hyperlinks>
  <printOptions gridLinesSet="0"/>
  <pageMargins left="0.78740157480314965" right="0.78740157480314965" top="0.98425196850393704" bottom="0.78740157480314965" header="0.51181102362204722" footer="0.51181102362204722"/>
  <pageSetup paperSize="9" scale="57" orientation="portrait" r:id="rId1"/>
  <headerFooter alignWithMargins="0">
    <oddHeader>&amp;L&amp;"Arial CE,Obyčejné"&amp;10Mařík, M. a kol.: Metody oceňování podniku pro pokročilé
Ekopress 2023&amp;R&amp;"Arial CE,Obyčejné"&amp;10Příklad: Vzájemná shoda metod DCF a EVA</oddHeader>
    <oddFooter>&amp;C&amp;"Arial CE,Obyčejné"&amp;10&amp;A - str. &amp;P&amp;R&amp;"Arial CE,Obyčejné"&amp;10©  Miloš Mařík, Pavla Maříková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24"/>
  <sheetViews>
    <sheetView showGridLines="0" workbookViewId="0"/>
  </sheetViews>
  <sheetFormatPr defaultRowHeight="15.75" x14ac:dyDescent="0.25"/>
  <cols>
    <col min="1" max="1" width="35.625" customWidth="1"/>
  </cols>
  <sheetData>
    <row r="1" spans="1:6" ht="18.75" x14ac:dyDescent="0.3">
      <c r="A1" s="554" t="s">
        <v>397</v>
      </c>
      <c r="E1" s="555" t="s">
        <v>290</v>
      </c>
    </row>
    <row r="2" spans="1:6" ht="20.25" customHeight="1" thickBot="1" x14ac:dyDescent="0.3">
      <c r="A2" s="10" t="s">
        <v>136</v>
      </c>
      <c r="B2" s="4"/>
      <c r="C2" s="4"/>
      <c r="D2" s="4"/>
    </row>
    <row r="3" spans="1:6" ht="16.5" thickBot="1" x14ac:dyDescent="0.3">
      <c r="A3" s="237" t="s">
        <v>5</v>
      </c>
      <c r="B3" s="238">
        <f>rok</f>
        <v>2022</v>
      </c>
      <c r="C3" s="239">
        <f>B3+1</f>
        <v>2023</v>
      </c>
      <c r="D3" s="240">
        <f>C3+1</f>
        <v>2024</v>
      </c>
      <c r="E3" s="241">
        <f>D3+1</f>
        <v>2025</v>
      </c>
    </row>
    <row r="4" spans="1:6" ht="16.5" thickBot="1" x14ac:dyDescent="0.3">
      <c r="A4" s="15" t="s">
        <v>6</v>
      </c>
      <c r="B4" s="96">
        <f>(B12+B5)</f>
        <v>130634.6035</v>
      </c>
      <c r="C4" s="29">
        <f>(C12+C5)</f>
        <v>156392.62299999999</v>
      </c>
      <c r="D4" s="29">
        <f>(D12+D5)</f>
        <v>175289.94949999999</v>
      </c>
      <c r="E4" s="30">
        <f>(E12+E5)</f>
        <v>195644.38150000002</v>
      </c>
    </row>
    <row r="5" spans="1:6" x14ac:dyDescent="0.25">
      <c r="A5" s="11" t="s">
        <v>367</v>
      </c>
      <c r="B5" s="90">
        <f>B6+B10</f>
        <v>65394</v>
      </c>
      <c r="C5" s="17">
        <f>C6+C10</f>
        <v>66043</v>
      </c>
      <c r="D5" s="17">
        <f>D6+D10</f>
        <v>67043</v>
      </c>
      <c r="E5" s="18">
        <f>E6+E10</f>
        <v>67043</v>
      </c>
    </row>
    <row r="6" spans="1:6" x14ac:dyDescent="0.25">
      <c r="A6" s="5" t="s">
        <v>7</v>
      </c>
      <c r="B6" s="91">
        <f>SUM(B7:B9)</f>
        <v>54394</v>
      </c>
      <c r="C6" s="19">
        <f>SUM(C7:C9)</f>
        <v>55043</v>
      </c>
      <c r="D6" s="19">
        <f>SUM(D7:D9)</f>
        <v>56043</v>
      </c>
      <c r="E6" s="20">
        <f>SUM(E7:E9)</f>
        <v>56043</v>
      </c>
    </row>
    <row r="7" spans="1:6" x14ac:dyDescent="0.25">
      <c r="A7" s="6" t="s">
        <v>368</v>
      </c>
      <c r="B7" s="242">
        <v>4394</v>
      </c>
      <c r="C7" s="243">
        <v>8043</v>
      </c>
      <c r="D7" s="243">
        <v>8043</v>
      </c>
      <c r="E7" s="244">
        <v>8043</v>
      </c>
      <c r="F7" s="108"/>
    </row>
    <row r="8" spans="1:6" x14ac:dyDescent="0.25">
      <c r="A8" s="6" t="s">
        <v>369</v>
      </c>
      <c r="B8" s="242">
        <v>30000</v>
      </c>
      <c r="C8" s="243">
        <f>B8-1000</f>
        <v>29000</v>
      </c>
      <c r="D8" s="243">
        <f>C8-1000</f>
        <v>28000</v>
      </c>
      <c r="E8" s="244">
        <f>D8-1000</f>
        <v>27000</v>
      </c>
    </row>
    <row r="9" spans="1:6" x14ac:dyDescent="0.25">
      <c r="A9" s="12" t="s">
        <v>370</v>
      </c>
      <c r="B9" s="245">
        <v>20000</v>
      </c>
      <c r="C9" s="246">
        <v>18000</v>
      </c>
      <c r="D9" s="246">
        <v>20000</v>
      </c>
      <c r="E9" s="247">
        <v>21000</v>
      </c>
    </row>
    <row r="10" spans="1:6" x14ac:dyDescent="0.25">
      <c r="A10" s="5" t="s">
        <v>8</v>
      </c>
      <c r="B10" s="91">
        <f>B11</f>
        <v>11000</v>
      </c>
      <c r="C10" s="19">
        <f>C11</f>
        <v>11000</v>
      </c>
      <c r="D10" s="19">
        <f>D11</f>
        <v>11000</v>
      </c>
      <c r="E10" s="20">
        <f>E11</f>
        <v>11000</v>
      </c>
    </row>
    <row r="11" spans="1:6" ht="16.5" thickBot="1" x14ac:dyDescent="0.3">
      <c r="A11" s="6" t="s">
        <v>99</v>
      </c>
      <c r="B11" s="242">
        <v>11000</v>
      </c>
      <c r="C11" s="243">
        <v>11000</v>
      </c>
      <c r="D11" s="243">
        <v>11000</v>
      </c>
      <c r="E11" s="244">
        <v>11000</v>
      </c>
    </row>
    <row r="12" spans="1:6" x14ac:dyDescent="0.25">
      <c r="A12" s="13" t="s">
        <v>9</v>
      </c>
      <c r="B12" s="94">
        <f>B13+B17+B20+B21</f>
        <v>65240.603499999997</v>
      </c>
      <c r="C12" s="25">
        <f>C13+C17+C20+C21</f>
        <v>90349.622999999992</v>
      </c>
      <c r="D12" s="25">
        <f>D13+D17+D20+D21</f>
        <v>108246.9495</v>
      </c>
      <c r="E12" s="26">
        <f>E13+E17+E20+E21</f>
        <v>128601.3815</v>
      </c>
    </row>
    <row r="13" spans="1:6" x14ac:dyDescent="0.25">
      <c r="A13" s="5" t="s">
        <v>10</v>
      </c>
      <c r="B13" s="91">
        <f>SUM(B14:B16)</f>
        <v>12391</v>
      </c>
      <c r="C13" s="19">
        <f>SUM(C14:C16)</f>
        <v>19732</v>
      </c>
      <c r="D13" s="19">
        <f>SUM(D14:D16)</f>
        <v>23527</v>
      </c>
      <c r="E13" s="20">
        <f>SUM(E14:E16)</f>
        <v>25755</v>
      </c>
    </row>
    <row r="14" spans="1:6" x14ac:dyDescent="0.25">
      <c r="A14" s="6" t="s">
        <v>375</v>
      </c>
      <c r="B14" s="242">
        <v>4956</v>
      </c>
      <c r="C14" s="243">
        <v>7893</v>
      </c>
      <c r="D14" s="243">
        <v>9411</v>
      </c>
      <c r="E14" s="244">
        <v>9962</v>
      </c>
    </row>
    <row r="15" spans="1:6" x14ac:dyDescent="0.25">
      <c r="A15" s="6" t="s">
        <v>376</v>
      </c>
      <c r="B15" s="242">
        <v>6196</v>
      </c>
      <c r="C15" s="243">
        <v>9866</v>
      </c>
      <c r="D15" s="243">
        <v>11764</v>
      </c>
      <c r="E15" s="244">
        <v>13120</v>
      </c>
    </row>
    <row r="16" spans="1:6" x14ac:dyDescent="0.25">
      <c r="A16" s="12" t="s">
        <v>371</v>
      </c>
      <c r="B16" s="245">
        <v>1239</v>
      </c>
      <c r="C16" s="246">
        <v>1973</v>
      </c>
      <c r="D16" s="246">
        <v>2352</v>
      </c>
      <c r="E16" s="247">
        <v>2673</v>
      </c>
    </row>
    <row r="17" spans="1:5" x14ac:dyDescent="0.25">
      <c r="A17" s="5" t="s">
        <v>372</v>
      </c>
      <c r="B17" s="91">
        <f>B18+B19</f>
        <v>21361</v>
      </c>
      <c r="C17" s="19">
        <f>C18+C19</f>
        <v>26461</v>
      </c>
      <c r="D17" s="19">
        <f>D18+D19</f>
        <v>31568</v>
      </c>
      <c r="E17" s="20">
        <f>E18+E19</f>
        <v>33528</v>
      </c>
    </row>
    <row r="18" spans="1:5" x14ac:dyDescent="0.25">
      <c r="A18" s="6" t="s">
        <v>373</v>
      </c>
      <c r="B18" s="242">
        <v>20293</v>
      </c>
      <c r="C18" s="243">
        <v>25138</v>
      </c>
      <c r="D18" s="243">
        <v>29990</v>
      </c>
      <c r="E18" s="244">
        <v>31828</v>
      </c>
    </row>
    <row r="19" spans="1:5" x14ac:dyDescent="0.25">
      <c r="A19" s="12" t="s">
        <v>374</v>
      </c>
      <c r="B19" s="245">
        <v>1068</v>
      </c>
      <c r="C19" s="246">
        <v>1323</v>
      </c>
      <c r="D19" s="246">
        <v>1578</v>
      </c>
      <c r="E19" s="247">
        <v>1700</v>
      </c>
    </row>
    <row r="20" spans="1:5" x14ac:dyDescent="0.25">
      <c r="A20" s="570" t="s">
        <v>377</v>
      </c>
      <c r="B20" s="574">
        <v>5000</v>
      </c>
      <c r="C20" s="575">
        <v>5000</v>
      </c>
      <c r="D20" s="575">
        <v>5000</v>
      </c>
      <c r="E20" s="576">
        <v>5000</v>
      </c>
    </row>
    <row r="21" spans="1:5" ht="16.5" thickBot="1" x14ac:dyDescent="0.3">
      <c r="A21" s="16" t="s">
        <v>378</v>
      </c>
      <c r="B21" s="254">
        <f>'1 Pasiva'!B4-B17-B13-B20-B5</f>
        <v>26488.603499999997</v>
      </c>
      <c r="C21" s="255">
        <f>B21+'1 Cash flow'!B18</f>
        <v>39156.623</v>
      </c>
      <c r="D21" s="255">
        <f>C21+'1 Cash flow'!C18</f>
        <v>48151.949500000002</v>
      </c>
      <c r="E21" s="256">
        <f>D21+'1 Cash flow'!D18</f>
        <v>64318.381500000003</v>
      </c>
    </row>
    <row r="24" spans="1:5" x14ac:dyDescent="0.25">
      <c r="C24" s="108"/>
      <c r="D24" s="108"/>
    </row>
  </sheetData>
  <phoneticPr fontId="0" type="noConversion"/>
  <hyperlinks>
    <hyperlink ref="E1" location="Obsah!A1" display="Skok na obsah" xr:uid="{00000000-0004-0000-0200-000000000000}"/>
  </hyperlinks>
  <printOptions gridLinesSet="0"/>
  <pageMargins left="0.78740157480314965" right="0.78740157480314965" top="0.98425196850393704" bottom="0.78740157480314965" header="0.51181102362204722" footer="0.51181102362204722"/>
  <pageSetup paperSize="9" orientation="portrait" r:id="rId1"/>
  <headerFooter alignWithMargins="0">
    <oddHeader>&amp;L&amp;"Arial CE,Obyčejné"&amp;10Mařík, M. a kol.: Metody oceňování podniku pro pokročilé
Ekopress 2023&amp;R&amp;"Arial CE,Obyčejné"&amp;10Příklad: Vzájemná shoda metod DCF a EVA</oddHeader>
    <oddFooter>&amp;C&amp;"Arial CE,Obyčejné"&amp;10&amp;A - str. &amp;P&amp;R&amp;"Arial CE,Obyčejné"&amp;10©  Miloš Mařík, Pavla Maříková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indexed="43"/>
    <pageSetUpPr fitToPage="1"/>
  </sheetPr>
  <dimension ref="A1:O94"/>
  <sheetViews>
    <sheetView showGridLines="0" workbookViewId="0"/>
  </sheetViews>
  <sheetFormatPr defaultRowHeight="15.75" x14ac:dyDescent="0.25"/>
  <cols>
    <col min="1" max="1" width="40.625" customWidth="1"/>
    <col min="2" max="5" width="8.625" customWidth="1"/>
    <col min="6" max="6" width="1.75" customWidth="1"/>
    <col min="7" max="7" width="30.625" style="205" customWidth="1"/>
    <col min="8" max="11" width="8.625" style="205" customWidth="1"/>
    <col min="12" max="12" width="11.125" style="205" bestFit="1" customWidth="1"/>
    <col min="13" max="13" width="11.375" style="205" bestFit="1" customWidth="1"/>
    <col min="14" max="15" width="9" style="205"/>
  </cols>
  <sheetData>
    <row r="1" spans="1:15" ht="18.75" x14ac:dyDescent="0.3">
      <c r="A1" s="554" t="s">
        <v>403</v>
      </c>
      <c r="E1" s="555" t="s">
        <v>290</v>
      </c>
      <c r="G1"/>
      <c r="H1"/>
      <c r="I1"/>
      <c r="J1"/>
      <c r="K1"/>
      <c r="L1"/>
      <c r="M1"/>
      <c r="N1"/>
      <c r="O1"/>
    </row>
    <row r="2" spans="1:15" ht="20.25" customHeight="1" x14ac:dyDescent="0.25">
      <c r="A2" s="3" t="s">
        <v>236</v>
      </c>
    </row>
    <row r="3" spans="1:15" x14ac:dyDescent="0.25">
      <c r="A3" s="130" t="str">
        <f>"Výsledky hospodaření v roce "&amp;FIXED(rok+4,0,1)&amp;" budou stejné jako v roce "&amp;FIXED(rok+3,0,1)&amp;", ale již se v nich"</f>
        <v>Výsledky hospodaření v roce 2026 budou stejné jako v roce 2025, ale již se v nich</v>
      </c>
    </row>
    <row r="4" spans="1:15" x14ac:dyDescent="0.25">
      <c r="A4" s="130" t="s">
        <v>83</v>
      </c>
    </row>
    <row r="5" spans="1:15" x14ac:dyDescent="0.25">
      <c r="A5" s="165" t="s">
        <v>152</v>
      </c>
      <c r="B5" s="164">
        <f>'1 Společné úpravy - WACC'!B6</f>
        <v>0.19</v>
      </c>
      <c r="C5" s="164">
        <f>'1 Společné úpravy - WACC'!C6</f>
        <v>0.19</v>
      </c>
      <c r="D5" s="164">
        <f>'1 Společné úpravy - WACC'!D6</f>
        <v>0.19</v>
      </c>
      <c r="E5" s="164">
        <f>'1 Společné úpravy - WACC'!E6</f>
        <v>0.19</v>
      </c>
      <c r="F5" s="483"/>
    </row>
    <row r="6" spans="1:15" x14ac:dyDescent="0.25">
      <c r="A6" s="134"/>
      <c r="B6" s="332"/>
      <c r="C6" s="332"/>
      <c r="D6" s="332"/>
      <c r="E6" s="332"/>
      <c r="F6" s="483"/>
      <c r="G6"/>
      <c r="H6"/>
      <c r="I6"/>
      <c r="J6"/>
      <c r="K6"/>
      <c r="L6"/>
      <c r="M6"/>
      <c r="N6"/>
      <c r="O6"/>
    </row>
    <row r="7" spans="1:15" x14ac:dyDescent="0.25">
      <c r="A7" s="2" t="s">
        <v>253</v>
      </c>
      <c r="G7"/>
      <c r="H7"/>
      <c r="I7"/>
      <c r="J7"/>
      <c r="K7"/>
      <c r="L7"/>
      <c r="M7"/>
      <c r="N7"/>
      <c r="O7"/>
    </row>
    <row r="8" spans="1:15" ht="31.5" x14ac:dyDescent="0.25">
      <c r="A8" s="301"/>
      <c r="B8" s="302">
        <f>rok+1</f>
        <v>2023</v>
      </c>
      <c r="C8" s="302">
        <f>B8+1</f>
        <v>2024</v>
      </c>
      <c r="D8" s="302">
        <f>C8+1</f>
        <v>2025</v>
      </c>
      <c r="E8" s="300" t="str">
        <f>FIXED(D8+1,0,1)&amp;" 2.fáze"</f>
        <v>2026 2.fáze</v>
      </c>
      <c r="F8" s="484"/>
      <c r="G8"/>
      <c r="H8"/>
      <c r="I8"/>
      <c r="J8"/>
      <c r="K8"/>
      <c r="L8"/>
      <c r="M8"/>
      <c r="N8"/>
      <c r="O8"/>
    </row>
    <row r="9" spans="1:15" x14ac:dyDescent="0.25">
      <c r="A9" s="88" t="s">
        <v>114</v>
      </c>
      <c r="B9" s="133">
        <f>'2 Rezervy - Výsledovka'!C10</f>
        <v>23884.600000000006</v>
      </c>
      <c r="C9" s="133">
        <f>'2 Rezervy - Výsledovka'!D10</f>
        <v>23966</v>
      </c>
      <c r="D9" s="133">
        <f>'2 Rezervy - Výsledovka'!E10</f>
        <v>29477</v>
      </c>
      <c r="E9" s="133">
        <f>'2 Rezervy - Výsledovka'!E10+'2 Rezervy - Výsledovka'!E8</f>
        <v>29477</v>
      </c>
      <c r="F9" s="108"/>
    </row>
    <row r="10" spans="1:15" x14ac:dyDescent="0.25">
      <c r="A10" s="176" t="s">
        <v>169</v>
      </c>
      <c r="B10" s="166">
        <f>'2 Rezervy - Výsledovka'!C8</f>
        <v>100</v>
      </c>
      <c r="C10" s="166">
        <f>'2 Rezervy - Výsledovka'!D8</f>
        <v>-500</v>
      </c>
      <c r="D10" s="166">
        <f>'2 Rezervy - Výsledovka'!E8</f>
        <v>0</v>
      </c>
      <c r="E10" s="136">
        <v>0</v>
      </c>
      <c r="F10" s="108"/>
    </row>
    <row r="11" spans="1:15" x14ac:dyDescent="0.25">
      <c r="A11" s="176" t="s">
        <v>168</v>
      </c>
      <c r="B11" s="166">
        <f>'4 Goodwill - příprava'!P11</f>
        <v>500</v>
      </c>
      <c r="C11" s="166">
        <f>'4 Goodwill - příprava'!Q11</f>
        <v>500</v>
      </c>
      <c r="D11" s="136">
        <v>0</v>
      </c>
      <c r="E11" s="136">
        <v>0</v>
      </c>
      <c r="F11" s="108"/>
    </row>
    <row r="12" spans="1:15" x14ac:dyDescent="0.25">
      <c r="A12" s="370" t="s">
        <v>200</v>
      </c>
      <c r="B12" s="166">
        <f>'3 Marketing - příprava'!C11</f>
        <v>3600</v>
      </c>
      <c r="C12" s="136">
        <f>'3 Marketing - příprava'!D11</f>
        <v>0</v>
      </c>
      <c r="D12" s="136">
        <f>'3 Marketing - příprava'!E11</f>
        <v>0</v>
      </c>
      <c r="E12" s="136">
        <v>0</v>
      </c>
      <c r="F12" s="108"/>
    </row>
    <row r="13" spans="1:15" x14ac:dyDescent="0.25">
      <c r="A13" s="371" t="s">
        <v>201</v>
      </c>
      <c r="B13" s="133">
        <f>-'3 Marketing - příprava'!C14</f>
        <v>-2030</v>
      </c>
      <c r="C13" s="81">
        <f>-'3 Marketing - příprava'!D14</f>
        <v>-2030</v>
      </c>
      <c r="D13" s="81">
        <f>-'3 Marketing - příprava'!E14</f>
        <v>-1200</v>
      </c>
      <c r="E13" s="81">
        <v>0</v>
      </c>
      <c r="F13" s="108"/>
    </row>
    <row r="14" spans="1:15" x14ac:dyDescent="0.25">
      <c r="A14" s="135" t="s">
        <v>174</v>
      </c>
      <c r="B14" s="124">
        <f>'5 Leasing - příprava'!C34</f>
        <v>10000</v>
      </c>
      <c r="C14" s="124">
        <f>'5 Leasing - příprava'!D34</f>
        <v>10000</v>
      </c>
      <c r="D14" s="124">
        <f>'5 Leasing - příprava'!E34</f>
        <v>5000</v>
      </c>
      <c r="E14" s="79">
        <v>0</v>
      </c>
      <c r="F14" s="108"/>
    </row>
    <row r="15" spans="1:15" x14ac:dyDescent="0.25">
      <c r="A15" s="88" t="s">
        <v>173</v>
      </c>
      <c r="B15" s="133">
        <f>-'5 Leasing - příprava'!C31</f>
        <v>-6196.5</v>
      </c>
      <c r="C15" s="133">
        <f>-'5 Leasing - příprava'!D31</f>
        <v>-6196.5</v>
      </c>
      <c r="D15" s="133">
        <f>-'5 Leasing - příprava'!E31</f>
        <v>-6196.5</v>
      </c>
      <c r="E15" s="133">
        <f>-'5 Leasing - příprava'!F31</f>
        <v>0</v>
      </c>
      <c r="F15" s="108"/>
    </row>
    <row r="16" spans="1:15" x14ac:dyDescent="0.25">
      <c r="A16" s="89" t="s">
        <v>249</v>
      </c>
      <c r="B16" s="167">
        <f>SUM(B9:B15)</f>
        <v>29858.100000000006</v>
      </c>
      <c r="C16" s="167">
        <f>SUM(C9:C15)</f>
        <v>25739.5</v>
      </c>
      <c r="D16" s="167">
        <f>SUM(D9:D15)</f>
        <v>27080.5</v>
      </c>
      <c r="E16" s="167">
        <f>SUM(E9:E15)</f>
        <v>29477</v>
      </c>
      <c r="F16" s="217"/>
    </row>
    <row r="17" spans="1:15" x14ac:dyDescent="0.25">
      <c r="A17" s="88" t="s">
        <v>193</v>
      </c>
      <c r="B17" s="133">
        <f>'1 Společné úpravy - Hodnota'!B10+'5 Leasing - příprava'!C26*B5</f>
        <v>5215.3378160000011</v>
      </c>
      <c r="C17" s="133">
        <f>'1 Společné úpravy - Hodnota'!C10+'5 Leasing - příprava'!D26*C5</f>
        <v>4893.2913028800003</v>
      </c>
      <c r="D17" s="133">
        <f>'1 Společné úpravy - Hodnota'!D10+'5 Leasing - příprava'!E26*D5</f>
        <v>5600.6365373983999</v>
      </c>
      <c r="E17" s="133">
        <f>'1 Společné úpravy - Hodnota'!E10+'5 Leasing - příprava'!F26*E5</f>
        <v>5600.63</v>
      </c>
      <c r="F17" s="108"/>
    </row>
    <row r="18" spans="1:15" x14ac:dyDescent="0.25">
      <c r="A18" s="482" t="s">
        <v>248</v>
      </c>
      <c r="B18" s="83">
        <f>B16-B17</f>
        <v>24642.762184000007</v>
      </c>
      <c r="C18" s="80">
        <f>C16-C17</f>
        <v>20846.208697120001</v>
      </c>
      <c r="D18" s="80">
        <f>D16-D17</f>
        <v>21479.863462601599</v>
      </c>
      <c r="E18" s="80">
        <f>E16-E17</f>
        <v>23876.37</v>
      </c>
      <c r="F18" s="217"/>
      <c r="H18"/>
      <c r="I18"/>
      <c r="J18"/>
      <c r="K18"/>
      <c r="L18"/>
      <c r="M18"/>
      <c r="N18"/>
      <c r="O18"/>
    </row>
    <row r="19" spans="1:15" x14ac:dyDescent="0.25">
      <c r="A19" s="203" t="s">
        <v>275</v>
      </c>
      <c r="B19" s="166">
        <f>'2 Rezervy - Výsledovka'!C12*(1-B5)</f>
        <v>1424.5065000000002</v>
      </c>
      <c r="C19" s="166">
        <f>'2 Rezervy - Výsledovka'!D12*(1-C5)</f>
        <v>1608.1335000000001</v>
      </c>
      <c r="D19" s="166">
        <f>'2 Rezervy - Výsledovka'!E12*(1-D5)</f>
        <v>1708.9380000000003</v>
      </c>
      <c r="E19" s="166">
        <f>D19</f>
        <v>1708.9380000000003</v>
      </c>
      <c r="F19" s="108"/>
      <c r="H19"/>
      <c r="I19"/>
      <c r="J19"/>
      <c r="K19"/>
      <c r="L19"/>
      <c r="M19"/>
      <c r="N19"/>
      <c r="O19"/>
    </row>
    <row r="20" spans="1:15" x14ac:dyDescent="0.25">
      <c r="A20" s="202" t="s">
        <v>276</v>
      </c>
      <c r="B20" s="133">
        <f>'5 Leasing - příprava'!C26*(1-B5)</f>
        <v>2806.282584</v>
      </c>
      <c r="C20" s="133">
        <f>'5 Leasing - příprava'!D26*(1-C5)</f>
        <v>1853.4134491199998</v>
      </c>
      <c r="D20" s="133">
        <f>'5 Leasing - příprava'!E26*(1-D5)</f>
        <v>2.7869961599915408E-2</v>
      </c>
      <c r="E20" s="133">
        <f>'5 Leasing - příprava'!F26*(1-E5)</f>
        <v>0</v>
      </c>
      <c r="F20" s="108"/>
      <c r="H20"/>
      <c r="I20"/>
      <c r="J20"/>
      <c r="K20"/>
      <c r="L20"/>
      <c r="M20"/>
      <c r="N20"/>
      <c r="O20"/>
    </row>
    <row r="21" spans="1:15" x14ac:dyDescent="0.25">
      <c r="A21" s="394" t="s">
        <v>175</v>
      </c>
      <c r="B21" s="395">
        <f>B18-B19-B20</f>
        <v>20411.973100000007</v>
      </c>
      <c r="C21" s="395">
        <f>C18-C19-C20</f>
        <v>17384.661748000002</v>
      </c>
      <c r="D21" s="395">
        <f>D18-D19-D20</f>
        <v>19770.897592639998</v>
      </c>
      <c r="E21" s="395">
        <f>E18-E19-E20</f>
        <v>22167.431999999997</v>
      </c>
      <c r="F21" s="217"/>
    </row>
    <row r="23" spans="1:15" x14ac:dyDescent="0.25">
      <c r="A23" s="2" t="s">
        <v>235</v>
      </c>
    </row>
    <row r="24" spans="1:15" ht="31.5" x14ac:dyDescent="0.25">
      <c r="A24" s="301"/>
      <c r="B24" s="302">
        <f>rok+1</f>
        <v>2023</v>
      </c>
      <c r="C24" s="302">
        <f>B24+1</f>
        <v>2024</v>
      </c>
      <c r="D24" s="302">
        <f>C24+1</f>
        <v>2025</v>
      </c>
      <c r="E24" s="300" t="str">
        <f>FIXED(D24+1,0,1)&amp;" 2.fáze"</f>
        <v>2026 2.fáze</v>
      </c>
      <c r="F24" s="484"/>
      <c r="G24"/>
      <c r="H24"/>
      <c r="I24"/>
      <c r="J24"/>
      <c r="K24"/>
      <c r="L24"/>
      <c r="M24"/>
      <c r="N24"/>
      <c r="O24"/>
    </row>
    <row r="25" spans="1:15" x14ac:dyDescent="0.25">
      <c r="A25" s="88" t="s">
        <v>114</v>
      </c>
      <c r="B25" s="133">
        <f>'2 Rezervy - Výsledovka'!C10</f>
        <v>23884.600000000006</v>
      </c>
      <c r="C25" s="133">
        <f>'2 Rezervy - Výsledovka'!D10</f>
        <v>23966</v>
      </c>
      <c r="D25" s="133">
        <f>'2 Rezervy - Výsledovka'!E10</f>
        <v>29477</v>
      </c>
      <c r="E25" s="81">
        <f>D25</f>
        <v>29477</v>
      </c>
      <c r="F25" s="108"/>
    </row>
    <row r="26" spans="1:15" x14ac:dyDescent="0.25">
      <c r="A26" s="176" t="s">
        <v>168</v>
      </c>
      <c r="B26" s="166">
        <f>'4 Goodwill - příprava'!P11</f>
        <v>500</v>
      </c>
      <c r="C26" s="166">
        <f>'4 Goodwill - příprava'!Q11</f>
        <v>500</v>
      </c>
      <c r="D26" s="166">
        <v>0</v>
      </c>
      <c r="E26" s="136">
        <v>0</v>
      </c>
      <c r="F26" s="108"/>
    </row>
    <row r="27" spans="1:15" x14ac:dyDescent="0.25">
      <c r="A27" s="135" t="str">
        <f>A12</f>
        <v>Marketing – původní výdaj vrácený k zisku</v>
      </c>
      <c r="B27" s="166">
        <f>'3 Marketing - příprava'!C11</f>
        <v>3600</v>
      </c>
      <c r="C27" s="166">
        <f>'3 Marketing - příprava'!D11</f>
        <v>0</v>
      </c>
      <c r="D27" s="166">
        <f>'3 Marketing - příprava'!E11</f>
        <v>0</v>
      </c>
      <c r="E27" s="136">
        <v>0</v>
      </c>
      <c r="F27" s="108"/>
    </row>
    <row r="28" spans="1:15" x14ac:dyDescent="0.25">
      <c r="A28" s="88" t="str">
        <f>A13</f>
        <v>Marketing – odpisy započítaný nově do nákladů</v>
      </c>
      <c r="B28" s="133">
        <f>-'3 Marketing - příprava'!C14</f>
        <v>-2030</v>
      </c>
      <c r="C28" s="133">
        <f>-'3 Marketing - příprava'!D14</f>
        <v>-2030</v>
      </c>
      <c r="D28" s="133">
        <f>-'3 Marketing - příprava'!E14</f>
        <v>-1200</v>
      </c>
      <c r="E28" s="81">
        <v>0</v>
      </c>
      <c r="F28" s="108"/>
    </row>
    <row r="29" spans="1:15" x14ac:dyDescent="0.25">
      <c r="A29" s="135" t="s">
        <v>174</v>
      </c>
      <c r="B29" s="124">
        <f>'5 Leasing - příprava'!C34</f>
        <v>10000</v>
      </c>
      <c r="C29" s="124">
        <f>'5 Leasing - příprava'!D34</f>
        <v>10000</v>
      </c>
      <c r="D29" s="124">
        <f>'5 Leasing - příprava'!E34</f>
        <v>5000</v>
      </c>
      <c r="E29" s="124">
        <f>'5 Leasing - příprava'!F34</f>
        <v>0</v>
      </c>
      <c r="F29" s="108"/>
    </row>
    <row r="30" spans="1:15" x14ac:dyDescent="0.25">
      <c r="A30" s="88" t="s">
        <v>173</v>
      </c>
      <c r="B30" s="133">
        <f>-'5 Leasing - příprava'!C31</f>
        <v>-6196.5</v>
      </c>
      <c r="C30" s="133">
        <f>-'5 Leasing - příprava'!D31</f>
        <v>-6196.5</v>
      </c>
      <c r="D30" s="133">
        <f>-'5 Leasing - příprava'!E31</f>
        <v>-6196.5</v>
      </c>
      <c r="E30" s="133">
        <f>-'5 Leasing - příprava'!F31</f>
        <v>0</v>
      </c>
      <c r="F30" s="108"/>
    </row>
    <row r="31" spans="1:15" x14ac:dyDescent="0.25">
      <c r="A31" s="89" t="s">
        <v>101</v>
      </c>
      <c r="B31" s="167">
        <f>SUM(B25:B30)</f>
        <v>29758.100000000006</v>
      </c>
      <c r="C31" s="167">
        <f>SUM(C25:C30)</f>
        <v>26239.5</v>
      </c>
      <c r="D31" s="167">
        <f>SUM(D25:D30)</f>
        <v>27080.5</v>
      </c>
      <c r="E31" s="167">
        <f>SUM(E25:E30)</f>
        <v>29477</v>
      </c>
      <c r="F31" s="217"/>
    </row>
    <row r="32" spans="1:15" x14ac:dyDescent="0.25">
      <c r="A32" s="88" t="s">
        <v>277</v>
      </c>
      <c r="B32" s="133">
        <f>'1 Společné úpravy - Hodnota'!B10+'5 Leasing - příprava'!C26*B5</f>
        <v>5215.3378160000011</v>
      </c>
      <c r="C32" s="133">
        <f>'1 Společné úpravy - Hodnota'!C10+'5 Leasing - příprava'!D26*C5</f>
        <v>4893.2913028800003</v>
      </c>
      <c r="D32" s="133">
        <f>'1 Společné úpravy - Hodnota'!D10+'5 Leasing - příprava'!E26*D5</f>
        <v>5600.6365373983999</v>
      </c>
      <c r="E32" s="133">
        <f>'1 Společné úpravy - Hodnota'!E10+'5 Leasing - příprava'!F26*E5</f>
        <v>5600.63</v>
      </c>
      <c r="F32" s="108"/>
    </row>
    <row r="33" spans="1:11" x14ac:dyDescent="0.25">
      <c r="A33" s="303" t="s">
        <v>155</v>
      </c>
      <c r="B33" s="304">
        <f>B31-B32</f>
        <v>24542.762184000007</v>
      </c>
      <c r="C33" s="305">
        <f>C31-C32</f>
        <v>21346.208697120001</v>
      </c>
      <c r="D33" s="305">
        <f>D31-D32</f>
        <v>21479.863462601599</v>
      </c>
      <c r="E33" s="305">
        <f>E31-E32</f>
        <v>23876.37</v>
      </c>
      <c r="F33" s="217"/>
    </row>
    <row r="34" spans="1:11" x14ac:dyDescent="0.25">
      <c r="B34" s="108"/>
      <c r="C34" s="108"/>
      <c r="D34" s="108"/>
      <c r="E34" s="108"/>
      <c r="F34" s="108"/>
    </row>
    <row r="35" spans="1:11" x14ac:dyDescent="0.25">
      <c r="A35" s="3" t="s">
        <v>256</v>
      </c>
      <c r="G35" s="3" t="s">
        <v>194</v>
      </c>
      <c r="H35"/>
      <c r="I35"/>
      <c r="J35"/>
      <c r="K35"/>
    </row>
    <row r="36" spans="1:11" x14ac:dyDescent="0.25">
      <c r="G36"/>
      <c r="H36"/>
      <c r="I36"/>
      <c r="J36"/>
      <c r="K36"/>
    </row>
    <row r="37" spans="1:11" x14ac:dyDescent="0.25">
      <c r="A37" s="2" t="s">
        <v>176</v>
      </c>
      <c r="C37" s="108"/>
      <c r="G37" s="2" t="s">
        <v>195</v>
      </c>
      <c r="H37"/>
      <c r="I37" s="108"/>
      <c r="J37"/>
      <c r="K37"/>
    </row>
    <row r="38" spans="1:11" ht="31.5" x14ac:dyDescent="0.25">
      <c r="A38" s="301"/>
      <c r="B38" s="302">
        <f>B8</f>
        <v>2023</v>
      </c>
      <c r="C38" s="302">
        <f>C8</f>
        <v>2024</v>
      </c>
      <c r="D38" s="302">
        <f>D8</f>
        <v>2025</v>
      </c>
      <c r="E38" s="300" t="str">
        <f>E8</f>
        <v>2026 2.fáze</v>
      </c>
      <c r="F38" s="485"/>
      <c r="G38" s="301"/>
      <c r="H38" s="302">
        <f>B38</f>
        <v>2023</v>
      </c>
      <c r="I38" s="302">
        <f>C38</f>
        <v>2024</v>
      </c>
      <c r="J38" s="302">
        <f>D38</f>
        <v>2025</v>
      </c>
      <c r="K38" s="300" t="str">
        <f>E38</f>
        <v>2026 2.fáze</v>
      </c>
    </row>
    <row r="39" spans="1:11" x14ac:dyDescent="0.25">
      <c r="A39" s="169" t="s">
        <v>177</v>
      </c>
      <c r="B39" s="41">
        <f>B21</f>
        <v>20411.973100000007</v>
      </c>
      <c r="C39" s="41">
        <f>C21</f>
        <v>17384.661748000002</v>
      </c>
      <c r="D39" s="41">
        <f>D21</f>
        <v>19770.897592639998</v>
      </c>
      <c r="E39" s="41">
        <f>E21</f>
        <v>22167.431999999997</v>
      </c>
      <c r="F39" s="486"/>
      <c r="G39" s="169" t="s">
        <v>109</v>
      </c>
      <c r="H39" s="41">
        <f>B18</f>
        <v>24642.762184000007</v>
      </c>
      <c r="I39" s="41">
        <f>C18</f>
        <v>20846.208697120001</v>
      </c>
      <c r="J39" s="41">
        <f>D18</f>
        <v>21479.863462601599</v>
      </c>
      <c r="K39" s="41">
        <f>E18</f>
        <v>23876.37</v>
      </c>
    </row>
    <row r="40" spans="1:11" ht="18.75" x14ac:dyDescent="0.35">
      <c r="A40" s="74" t="s">
        <v>252</v>
      </c>
      <c r="B40" s="175">
        <f ca="1">'5 Leasing - WACC'!B25</f>
        <v>0.14300824576375479</v>
      </c>
      <c r="C40" s="175">
        <f ca="1">'5 Leasing - WACC'!C25</f>
        <v>0.14677271657188862</v>
      </c>
      <c r="D40" s="175">
        <f ca="1">'5 Leasing - WACC'!D25</f>
        <v>0.1498677314258714</v>
      </c>
      <c r="E40" s="175">
        <f ca="1">'5 Leasing - WACC'!E25</f>
        <v>0.14958847077053208</v>
      </c>
      <c r="F40" s="487"/>
      <c r="G40" s="74" t="s">
        <v>280</v>
      </c>
      <c r="H40" s="175">
        <f>'5 Leasing - WACC'!$B$4</f>
        <v>0.13</v>
      </c>
      <c r="I40" s="175">
        <f>'5 Leasing - WACC'!$B$4</f>
        <v>0.13</v>
      </c>
      <c r="J40" s="175">
        <f>'5 Leasing - WACC'!$B$4</f>
        <v>0.13</v>
      </c>
      <c r="K40" s="175">
        <f>'5 Leasing - WACC'!$B$4</f>
        <v>0.13</v>
      </c>
    </row>
    <row r="41" spans="1:11" x14ac:dyDescent="0.25">
      <c r="A41" s="74" t="s">
        <v>257</v>
      </c>
      <c r="B41" s="124">
        <f>'5 Leasing - NOA'!G25-'5 Leasing - NOA'!G11-'5 Leasing - NOA'!G12</f>
        <v>38202.62000000001</v>
      </c>
      <c r="C41" s="124">
        <f>'5 Leasing - NOA'!H25-'5 Leasing - NOA'!H11-'5 Leasing - NOA'!H12</f>
        <v>43809.773599999986</v>
      </c>
      <c r="D41" s="124">
        <f>'5 Leasing - NOA'!I25-'5 Leasing - NOA'!I11-'5 Leasing - NOA'!I12</f>
        <v>48798.708847999995</v>
      </c>
      <c r="E41" s="124">
        <f>'5 Leasing - NOA'!J25-'5 Leasing - NOA'!J11-'5 Leasing - NOA'!J12</f>
        <v>48756.174440640025</v>
      </c>
      <c r="F41" s="486"/>
      <c r="G41" s="74" t="s">
        <v>153</v>
      </c>
      <c r="H41" s="124">
        <f>'5 Leasing - NOA'!G25</f>
        <v>94223.1</v>
      </c>
      <c r="I41" s="124">
        <f>'5 Leasing - NOA'!H25</f>
        <v>97828.799999999988</v>
      </c>
      <c r="J41" s="124">
        <f>'5 Leasing - NOA'!I25</f>
        <v>92594.9</v>
      </c>
      <c r="K41" s="124">
        <f>'5 Leasing - NOA'!J25</f>
        <v>92552.400000000023</v>
      </c>
    </row>
    <row r="42" spans="1:11" ht="18.75" x14ac:dyDescent="0.35">
      <c r="A42" s="107" t="s">
        <v>282</v>
      </c>
      <c r="B42" s="133">
        <f ca="1">B40*B41</f>
        <v>5463.2896697793358</v>
      </c>
      <c r="C42" s="133">
        <f ca="1">C40*C41</f>
        <v>6430.0794836714067</v>
      </c>
      <c r="D42" s="133">
        <f ca="1">D40*D41</f>
        <v>7313.3517915613575</v>
      </c>
      <c r="E42" s="133">
        <f ca="1">E40*E41</f>
        <v>7293.3615751966436</v>
      </c>
      <c r="F42" s="486"/>
      <c r="G42" s="107" t="s">
        <v>281</v>
      </c>
      <c r="H42" s="133">
        <f>H40*H41</f>
        <v>12249.003000000001</v>
      </c>
      <c r="I42" s="133">
        <f>I40*I41</f>
        <v>12717.743999999999</v>
      </c>
      <c r="J42" s="133">
        <f>J40*J41</f>
        <v>12037.337</v>
      </c>
      <c r="K42" s="133">
        <f>K40*K41</f>
        <v>12031.812000000004</v>
      </c>
    </row>
    <row r="43" spans="1:11" x14ac:dyDescent="0.25">
      <c r="A43" s="303" t="s">
        <v>251</v>
      </c>
      <c r="B43" s="304">
        <f ca="1">B39-B42</f>
        <v>14948.68343022067</v>
      </c>
      <c r="C43" s="304">
        <f ca="1">C39-C42</f>
        <v>10954.582264328596</v>
      </c>
      <c r="D43" s="304">
        <f ca="1">D39-D42</f>
        <v>12457.545801078641</v>
      </c>
      <c r="E43" s="304">
        <f ca="1">E39-E42</f>
        <v>14874.070424803354</v>
      </c>
      <c r="F43" s="399"/>
      <c r="G43" s="303" t="s">
        <v>283</v>
      </c>
      <c r="H43" s="304">
        <f>H39-H42</f>
        <v>12393.759184000006</v>
      </c>
      <c r="I43" s="304">
        <f>I39-I42</f>
        <v>8128.4646971200018</v>
      </c>
      <c r="J43" s="304">
        <f>J39-J42</f>
        <v>9442.5264626015996</v>
      </c>
      <c r="K43" s="304">
        <f>K39-K42</f>
        <v>11844.557999999995</v>
      </c>
    </row>
    <row r="44" spans="1:11" x14ac:dyDescent="0.25">
      <c r="B44" s="108"/>
      <c r="C44" s="108"/>
      <c r="D44" s="108"/>
      <c r="E44" s="108"/>
      <c r="F44" s="108"/>
    </row>
    <row r="45" spans="1:11" x14ac:dyDescent="0.25">
      <c r="A45" s="2" t="s">
        <v>278</v>
      </c>
      <c r="G45" s="2" t="s">
        <v>279</v>
      </c>
    </row>
    <row r="46" spans="1:11" ht="31.5" x14ac:dyDescent="0.25">
      <c r="A46" s="301"/>
      <c r="B46" s="302">
        <f>rok+1</f>
        <v>2023</v>
      </c>
      <c r="C46" s="302">
        <f>B46+1</f>
        <v>2024</v>
      </c>
      <c r="D46" s="302">
        <f>C46+1</f>
        <v>2025</v>
      </c>
      <c r="E46" s="300" t="str">
        <f>FIXED(D46+1,0,1)&amp;" 2.fáze"</f>
        <v>2026 2.fáze</v>
      </c>
      <c r="F46" s="486"/>
      <c r="G46" s="301"/>
      <c r="H46" s="302">
        <f>rok+1</f>
        <v>2023</v>
      </c>
      <c r="I46" s="302">
        <f>H46+1</f>
        <v>2024</v>
      </c>
      <c r="J46" s="302">
        <f>I46+1</f>
        <v>2025</v>
      </c>
      <c r="K46" s="300" t="str">
        <f>FIXED(J46+1,0,1)&amp;" 2.fáze"</f>
        <v>2026 2.fáze</v>
      </c>
    </row>
    <row r="47" spans="1:11" x14ac:dyDescent="0.25">
      <c r="A47" s="87" t="s">
        <v>284</v>
      </c>
      <c r="B47" s="166">
        <f ca="1">B43</f>
        <v>14948.68343022067</v>
      </c>
      <c r="C47" s="166">
        <f t="shared" ref="C47:E47" ca="1" si="0">C43</f>
        <v>10954.582264328596</v>
      </c>
      <c r="D47" s="166">
        <f t="shared" ca="1" si="0"/>
        <v>12457.545801078641</v>
      </c>
      <c r="E47" s="166">
        <f t="shared" ca="1" si="0"/>
        <v>14874.070424803354</v>
      </c>
      <c r="F47" s="488"/>
      <c r="G47" s="119" t="s">
        <v>196</v>
      </c>
      <c r="H47" s="166">
        <f>H43</f>
        <v>12393.759184000006</v>
      </c>
      <c r="I47" s="166">
        <f>I43</f>
        <v>8128.4646971200018</v>
      </c>
      <c r="J47" s="166">
        <f>J43</f>
        <v>9442.5264626015996</v>
      </c>
      <c r="K47" s="166">
        <f>K43</f>
        <v>11844.557999999995</v>
      </c>
    </row>
    <row r="48" spans="1:11" ht="18.75" x14ac:dyDescent="0.35">
      <c r="A48" s="107" t="s">
        <v>252</v>
      </c>
      <c r="B48" s="493">
        <f ca="1">B40</f>
        <v>0.14300824576375479</v>
      </c>
      <c r="C48" s="493">
        <f ca="1">C40</f>
        <v>0.14677271657188862</v>
      </c>
      <c r="D48" s="493">
        <f ca="1">D40</f>
        <v>0.1498677314258714</v>
      </c>
      <c r="E48" s="493">
        <f ca="1">E40</f>
        <v>0.14958847077053208</v>
      </c>
      <c r="F48" s="486"/>
      <c r="G48" s="107" t="s">
        <v>280</v>
      </c>
      <c r="H48" s="493">
        <f>'5 Leasing - WACC'!$B$4</f>
        <v>0.13</v>
      </c>
      <c r="I48" s="493">
        <f>'5 Leasing - WACC'!$B$4</f>
        <v>0.13</v>
      </c>
      <c r="J48" s="493">
        <f>'5 Leasing - WACC'!$B$4</f>
        <v>0.13</v>
      </c>
      <c r="K48" s="493">
        <f>'5 Leasing - WACC'!$B$4</f>
        <v>0.13</v>
      </c>
    </row>
    <row r="49" spans="1:11" x14ac:dyDescent="0.25">
      <c r="A49" s="512" t="s">
        <v>285</v>
      </c>
      <c r="B49" s="478">
        <f ca="1">(C49+B47)/(1+B48)</f>
        <v>95672.628818553203</v>
      </c>
      <c r="C49" s="404">
        <f ca="1">(D49+C47)/(1+C48)</f>
        <v>94405.920203280679</v>
      </c>
      <c r="D49" s="404">
        <f ca="1">(E49+D47)/(1+D48)</f>
        <v>97307.55130765654</v>
      </c>
      <c r="E49" s="404">
        <f ca="1">E47/E48</f>
        <v>99433.26747166297</v>
      </c>
      <c r="F49" s="108"/>
      <c r="G49" s="512" t="s">
        <v>286</v>
      </c>
      <c r="H49" s="478">
        <f>(H47+I49)/(1+H48)</f>
        <v>87023.028870239126</v>
      </c>
      <c r="I49" s="404">
        <f>(I47+J49)/(1+I48)</f>
        <v>85942.263439370188</v>
      </c>
      <c r="J49" s="404">
        <f>(J47+K49)/(1+J48)</f>
        <v>88986.292989368303</v>
      </c>
      <c r="K49" s="404">
        <f>K47/K48</f>
        <v>91111.984615384572</v>
      </c>
    </row>
    <row r="50" spans="1:11" x14ac:dyDescent="0.25">
      <c r="A50" s="466" t="s">
        <v>258</v>
      </c>
      <c r="B50" s="513">
        <f>B41</f>
        <v>38202.62000000001</v>
      </c>
      <c r="C50" s="81">
        <f t="shared" ref="C50:E50" si="1">C41</f>
        <v>43809.773599999986</v>
      </c>
      <c r="D50" s="81">
        <f t="shared" si="1"/>
        <v>48798.708847999995</v>
      </c>
      <c r="E50" s="81">
        <f t="shared" si="1"/>
        <v>48756.174440640025</v>
      </c>
      <c r="F50" s="217"/>
      <c r="G50" s="514" t="s">
        <v>157</v>
      </c>
      <c r="H50" s="467">
        <f>H41</f>
        <v>94223.1</v>
      </c>
      <c r="I50" s="133">
        <f>I41</f>
        <v>97828.799999999988</v>
      </c>
      <c r="J50" s="133">
        <f>J41</f>
        <v>92594.9</v>
      </c>
      <c r="K50" s="133">
        <f>K41</f>
        <v>92552.400000000023</v>
      </c>
    </row>
    <row r="51" spans="1:11" x14ac:dyDescent="0.25">
      <c r="A51" s="392" t="s">
        <v>184</v>
      </c>
      <c r="B51" s="393">
        <f ca="1">B49+B50</f>
        <v>133875.24881855323</v>
      </c>
      <c r="C51" s="393">
        <f ca="1">C49+C50</f>
        <v>138215.69380328065</v>
      </c>
      <c r="D51" s="393">
        <f ca="1">D49+D50</f>
        <v>146106.26015565655</v>
      </c>
      <c r="E51" s="393">
        <f ca="1">E49+E50</f>
        <v>148189.44191230298</v>
      </c>
      <c r="F51" s="489"/>
      <c r="G51" s="494" t="s">
        <v>260</v>
      </c>
      <c r="H51" s="226">
        <f>H49+H50</f>
        <v>181246.12887023913</v>
      </c>
      <c r="I51" s="226">
        <f>I49+I50</f>
        <v>183771.06343937019</v>
      </c>
      <c r="J51" s="226">
        <f>J49+J50</f>
        <v>181581.19298936828</v>
      </c>
      <c r="K51" s="226">
        <f>K49+K50</f>
        <v>183664.3846153846</v>
      </c>
    </row>
    <row r="52" spans="1:11" x14ac:dyDescent="0.25">
      <c r="A52" s="77" t="s">
        <v>98</v>
      </c>
      <c r="B52" s="124">
        <f>'5 Leasing - NOA'!G21</f>
        <v>33629.003499999999</v>
      </c>
      <c r="E52" s="227"/>
      <c r="F52" s="227"/>
      <c r="G52" s="78" t="s">
        <v>261</v>
      </c>
      <c r="H52" s="133">
        <f>'5 Leasing - WACC'!B22</f>
        <v>8649.6184393724361</v>
      </c>
      <c r="I52" s="133">
        <f>'5 Leasing - WACC'!C22</f>
        <v>8463.6778993426469</v>
      </c>
      <c r="J52" s="133">
        <f>'5 Leasing - WACC'!D22</f>
        <v>8321.2825558251716</v>
      </c>
      <c r="K52" s="133">
        <f>'5 Leasing - WACC'!E22</f>
        <v>8321.2828562783998</v>
      </c>
    </row>
    <row r="53" spans="1:11" x14ac:dyDescent="0.25">
      <c r="A53" s="306" t="s">
        <v>199</v>
      </c>
      <c r="B53" s="396">
        <f ca="1">B51+B52</f>
        <v>167504.25231855322</v>
      </c>
      <c r="G53" s="103" t="s">
        <v>185</v>
      </c>
      <c r="H53" s="226">
        <f>H51+H52</f>
        <v>189895.74730961156</v>
      </c>
      <c r="I53" s="226">
        <f>I51+I52</f>
        <v>192234.74133871283</v>
      </c>
      <c r="J53" s="226">
        <f>J51+J52</f>
        <v>189902.47554519345</v>
      </c>
      <c r="K53" s="226">
        <f>K51+K52</f>
        <v>191985.66747166301</v>
      </c>
    </row>
    <row r="54" spans="1:11" x14ac:dyDescent="0.25">
      <c r="B54" s="108"/>
      <c r="G54" s="78" t="s">
        <v>183</v>
      </c>
      <c r="H54" s="133">
        <f>'5 Leasing - WACC'!B11</f>
        <v>56020.479999999996</v>
      </c>
      <c r="I54" s="133">
        <f>'5 Leasing - WACC'!C11</f>
        <v>54019.026400000002</v>
      </c>
      <c r="J54" s="133">
        <f>'5 Leasing - WACC'!D11</f>
        <v>43796.191151999999</v>
      </c>
      <c r="K54" s="133">
        <f>'5 Leasing - WACC'!E11</f>
        <v>43796.225559359998</v>
      </c>
    </row>
    <row r="55" spans="1:11" x14ac:dyDescent="0.25">
      <c r="B55" s="108"/>
      <c r="G55" s="392" t="s">
        <v>184</v>
      </c>
      <c r="H55" s="393">
        <f>H53-H54</f>
        <v>133875.26730961155</v>
      </c>
      <c r="I55" s="393">
        <f>I53-I54</f>
        <v>138215.71493871283</v>
      </c>
      <c r="J55" s="393">
        <f>J53-J54</f>
        <v>146106.28439319343</v>
      </c>
      <c r="K55" s="393">
        <f>K53-K54</f>
        <v>148189.44191230301</v>
      </c>
    </row>
    <row r="56" spans="1:11" x14ac:dyDescent="0.25">
      <c r="A56" s="10"/>
      <c r="B56" s="492"/>
      <c r="C56" s="108"/>
      <c r="G56" s="77" t="s">
        <v>98</v>
      </c>
      <c r="H56" s="124">
        <f>'5 Leasing - NOA'!G21</f>
        <v>33629.003499999999</v>
      </c>
    </row>
    <row r="57" spans="1:11" x14ac:dyDescent="0.25">
      <c r="B57" s="108"/>
      <c r="C57" s="108"/>
      <c r="G57" s="306" t="s">
        <v>199</v>
      </c>
      <c r="H57" s="396">
        <f>H55+H56</f>
        <v>167504.27080961154</v>
      </c>
    </row>
    <row r="58" spans="1:11" x14ac:dyDescent="0.25">
      <c r="A58" s="1"/>
      <c r="B58" s="217"/>
      <c r="C58" s="217"/>
    </row>
    <row r="59" spans="1:11" x14ac:dyDescent="0.25">
      <c r="A59" s="3" t="s">
        <v>255</v>
      </c>
      <c r="G59" s="3" t="s">
        <v>259</v>
      </c>
      <c r="H59" s="213"/>
    </row>
    <row r="60" spans="1:11" x14ac:dyDescent="0.25">
      <c r="A60" s="2"/>
      <c r="B60" s="108"/>
      <c r="C60" s="108"/>
      <c r="D60" s="108"/>
      <c r="E60" s="108"/>
      <c r="F60" s="108"/>
    </row>
    <row r="61" spans="1:11" ht="31.5" x14ac:dyDescent="0.25">
      <c r="A61" s="301"/>
      <c r="B61" s="302">
        <f>rok+1</f>
        <v>2023</v>
      </c>
      <c r="C61" s="302">
        <f>B61+1</f>
        <v>2024</v>
      </c>
      <c r="D61" s="302">
        <f>C61+1</f>
        <v>2025</v>
      </c>
      <c r="E61" s="300" t="str">
        <f>FIXED(D61+1,0,1)&amp;" 2.fáze"</f>
        <v>2026 2.fáze</v>
      </c>
      <c r="F61" s="490"/>
      <c r="G61" s="301"/>
      <c r="H61" s="302">
        <f>rok+1</f>
        <v>2023</v>
      </c>
      <c r="I61" s="302">
        <f>H61+1</f>
        <v>2024</v>
      </c>
      <c r="J61" s="302">
        <f>I61+1</f>
        <v>2025</v>
      </c>
      <c r="K61" s="300" t="str">
        <f>FIXED(J61+1,0,1)&amp;" 2.fáze"</f>
        <v>2026 2.fáze</v>
      </c>
    </row>
    <row r="62" spans="1:11" x14ac:dyDescent="0.25">
      <c r="A62" s="87" t="s">
        <v>141</v>
      </c>
      <c r="B62" s="136">
        <f>B33</f>
        <v>24542.762184000007</v>
      </c>
      <c r="C62" s="136">
        <f>C33</f>
        <v>21346.208697120001</v>
      </c>
      <c r="D62" s="136">
        <f>D33</f>
        <v>21479.863462601599</v>
      </c>
      <c r="E62" s="136">
        <f>E33</f>
        <v>23876.37</v>
      </c>
      <c r="F62" s="79"/>
      <c r="G62" s="495" t="s">
        <v>111</v>
      </c>
      <c r="H62" s="496">
        <f>B65</f>
        <v>21037.062184000024</v>
      </c>
      <c r="I62" s="496">
        <f t="shared" ref="I62:K62" si="2">C65</f>
        <v>26080.108697119995</v>
      </c>
      <c r="J62" s="496">
        <f t="shared" si="2"/>
        <v>21522.36346260157</v>
      </c>
      <c r="K62" s="496">
        <f t="shared" si="2"/>
        <v>23876.37</v>
      </c>
    </row>
    <row r="63" spans="1:11" ht="18.75" x14ac:dyDescent="0.35">
      <c r="A63" s="77" t="s">
        <v>142</v>
      </c>
      <c r="B63" s="79">
        <f>'5 Leasing - NOA'!H7-'5 Leasing - NOA'!G7</f>
        <v>100</v>
      </c>
      <c r="C63" s="79">
        <f>'5 Leasing - NOA'!I7-'5 Leasing - NOA'!H7</f>
        <v>-500</v>
      </c>
      <c r="D63" s="79">
        <f>'5 Leasing - NOA'!J7-'5 Leasing - NOA'!I7</f>
        <v>0</v>
      </c>
      <c r="E63" s="79">
        <v>0</v>
      </c>
      <c r="F63" s="79"/>
      <c r="G63" s="107" t="s">
        <v>280</v>
      </c>
      <c r="H63" s="493">
        <f>'5 Leasing - WACC'!$B$4</f>
        <v>0.13</v>
      </c>
      <c r="I63" s="493">
        <f>'5 Leasing - WACC'!$B$4</f>
        <v>0.13</v>
      </c>
      <c r="J63" s="493">
        <f>'5 Leasing - WACC'!$B$4</f>
        <v>0.13</v>
      </c>
      <c r="K63" s="493">
        <f>'5 Leasing - WACC'!$B$4</f>
        <v>0.13</v>
      </c>
    </row>
    <row r="64" spans="1:11" x14ac:dyDescent="0.25">
      <c r="A64" s="78" t="s">
        <v>110</v>
      </c>
      <c r="B64" s="81">
        <f>-('5 Leasing - NOA'!H25-'5 Leasing - NOA'!G25)</f>
        <v>-3605.6999999999825</v>
      </c>
      <c r="C64" s="81">
        <f>-('5 Leasing - NOA'!I25-'5 Leasing - NOA'!H25)</f>
        <v>5233.8999999999942</v>
      </c>
      <c r="D64" s="81">
        <f>-('5 Leasing - NOA'!J25-'5 Leasing - NOA'!I25)</f>
        <v>42.499999999970896</v>
      </c>
      <c r="E64" s="81">
        <v>0</v>
      </c>
      <c r="F64" s="79"/>
      <c r="G64" s="397" t="s">
        <v>260</v>
      </c>
      <c r="H64" s="390">
        <f t="shared" ref="H64:I64" si="3">(H62+I64)/(1+H63)</f>
        <v>181246.12887023916</v>
      </c>
      <c r="I64" s="390">
        <f t="shared" si="3"/>
        <v>183771.06343937019</v>
      </c>
      <c r="J64" s="390">
        <f>(J62+K64)/(1+J63)</f>
        <v>181581.19298936831</v>
      </c>
      <c r="K64" s="390">
        <f>K62/K63</f>
        <v>183664.3846153846</v>
      </c>
    </row>
    <row r="65" spans="1:15" x14ac:dyDescent="0.25">
      <c r="A65" s="103" t="s">
        <v>111</v>
      </c>
      <c r="B65" s="82">
        <f>SUM(B62:B64)</f>
        <v>21037.062184000024</v>
      </c>
      <c r="C65" s="82">
        <f>SUM(C62:C64)</f>
        <v>26080.108697119995</v>
      </c>
      <c r="D65" s="82">
        <f>SUM(D62:D64)</f>
        <v>21522.36346260157</v>
      </c>
      <c r="E65" s="82">
        <f>SUM(E62:E64)</f>
        <v>23876.37</v>
      </c>
      <c r="F65" s="82"/>
      <c r="G65" s="78" t="s">
        <v>261</v>
      </c>
      <c r="H65" s="79">
        <f>'5 Leasing - WACC'!B22</f>
        <v>8649.6184393724361</v>
      </c>
      <c r="I65" s="79">
        <f>'5 Leasing - WACC'!C22</f>
        <v>8463.6778993426469</v>
      </c>
      <c r="J65" s="79">
        <f>'5 Leasing - WACC'!D22</f>
        <v>8321.2825558251716</v>
      </c>
      <c r="K65" s="79">
        <f>'5 Leasing - WACC'!E22</f>
        <v>8321.2828562783998</v>
      </c>
      <c r="O65" s="206"/>
    </row>
    <row r="66" spans="1:15" x14ac:dyDescent="0.25">
      <c r="A66" s="495" t="s">
        <v>189</v>
      </c>
      <c r="B66" s="496">
        <f>-B19-B20</f>
        <v>-4230.789084</v>
      </c>
      <c r="C66" s="496">
        <f>-C19-C20</f>
        <v>-3461.5469491200001</v>
      </c>
      <c r="D66" s="496">
        <f>-D19-D20</f>
        <v>-1708.9658699616002</v>
      </c>
      <c r="E66" s="496">
        <f>-E19-E20</f>
        <v>-1708.9380000000003</v>
      </c>
      <c r="F66" s="204"/>
      <c r="G66" s="103" t="s">
        <v>185</v>
      </c>
      <c r="H66" s="390">
        <f>H64+H65</f>
        <v>189895.74730961159</v>
      </c>
      <c r="I66" s="390">
        <f t="shared" ref="I66:K66" si="4">I64+I65</f>
        <v>192234.74133871283</v>
      </c>
      <c r="J66" s="390">
        <f t="shared" si="4"/>
        <v>189902.47554519348</v>
      </c>
      <c r="K66" s="390">
        <f t="shared" si="4"/>
        <v>191985.66747166301</v>
      </c>
      <c r="M66" s="207"/>
      <c r="N66" s="207"/>
      <c r="O66" s="207"/>
    </row>
    <row r="67" spans="1:15" x14ac:dyDescent="0.25">
      <c r="A67" s="78" t="s">
        <v>287</v>
      </c>
      <c r="B67" s="398">
        <f>('5 Leasing - NOA'!H11+'5 Leasing - NOA'!H12)-('5 Leasing - NOA'!G11+'5 Leasing - NOA'!G12)</f>
        <v>-2001.4535999999935</v>
      </c>
      <c r="C67" s="398">
        <f>('5 Leasing - NOA'!I11+'5 Leasing - NOA'!I12)-('5 Leasing - NOA'!H11+'5 Leasing - NOA'!H12)</f>
        <v>-10222.835248000003</v>
      </c>
      <c r="D67" s="398">
        <f>('5 Leasing - NOA'!J11+'5 Leasing - NOA'!J12)-('5 Leasing - NOA'!I11+'5 Leasing - NOA'!I12)</f>
        <v>3.4407359999022447E-2</v>
      </c>
      <c r="E67" s="398">
        <v>0</v>
      </c>
      <c r="F67" s="204"/>
      <c r="G67" s="78" t="s">
        <v>183</v>
      </c>
      <c r="H67" s="79">
        <f>'5 Leasing - WACC'!B11</f>
        <v>56020.479999999996</v>
      </c>
      <c r="I67" s="79">
        <f>'5 Leasing - WACC'!C11</f>
        <v>54019.026400000002</v>
      </c>
      <c r="J67" s="79">
        <f>'5 Leasing - WACC'!D11</f>
        <v>43796.191151999999</v>
      </c>
      <c r="K67" s="79">
        <f>'5 Leasing - WACC'!E11</f>
        <v>43796.225559359998</v>
      </c>
    </row>
    <row r="68" spans="1:15" x14ac:dyDescent="0.25">
      <c r="A68" s="497" t="s">
        <v>178</v>
      </c>
      <c r="B68" s="309">
        <f>SUM(B65:B67)</f>
        <v>14804.819500000031</v>
      </c>
      <c r="C68" s="309">
        <f>SUM(C65:C67)</f>
        <v>12395.72649999999</v>
      </c>
      <c r="D68" s="309">
        <f>SUM(D65:D67)</f>
        <v>19813.431999999968</v>
      </c>
      <c r="E68" s="309">
        <f>SUM(E65:E67)</f>
        <v>22167.431999999997</v>
      </c>
      <c r="F68" s="82"/>
      <c r="G68" s="392" t="s">
        <v>184</v>
      </c>
      <c r="H68" s="393">
        <f>H66-H67</f>
        <v>133875.26730961161</v>
      </c>
      <c r="I68" s="393">
        <f>I66-I67</f>
        <v>138215.71493871283</v>
      </c>
      <c r="J68" s="393">
        <f>J66-J67</f>
        <v>146106.28439319349</v>
      </c>
      <c r="K68" s="393">
        <f>K66-K67</f>
        <v>148189.44191230301</v>
      </c>
      <c r="L68" s="208"/>
      <c r="M68" s="208"/>
    </row>
    <row r="69" spans="1:15" ht="18.75" x14ac:dyDescent="0.35">
      <c r="A69" s="78" t="s">
        <v>252</v>
      </c>
      <c r="B69" s="170">
        <f ca="1">'5 Leasing - WACC'!B25</f>
        <v>0.14300824576375479</v>
      </c>
      <c r="C69" s="170">
        <f ca="1">'5 Leasing - WACC'!C25</f>
        <v>0.14677271657188862</v>
      </c>
      <c r="D69" s="170">
        <f ca="1">'5 Leasing - WACC'!D25</f>
        <v>0.1498677314258714</v>
      </c>
      <c r="E69" s="170">
        <f ca="1">'5 Leasing - WACC'!E25</f>
        <v>0.14958847077053208</v>
      </c>
      <c r="F69" s="491"/>
      <c r="G69" s="77" t="s">
        <v>98</v>
      </c>
      <c r="H69" s="124">
        <f>B71</f>
        <v>33629.003499999999</v>
      </c>
      <c r="M69" s="206"/>
    </row>
    <row r="70" spans="1:15" x14ac:dyDescent="0.25">
      <c r="A70" s="392" t="s">
        <v>184</v>
      </c>
      <c r="B70" s="393">
        <f ca="1">(C70+B68)/(1+B69)</f>
        <v>133875.24881855323</v>
      </c>
      <c r="C70" s="393">
        <f ca="1">(D70+C68)/(1+C69)</f>
        <v>138215.69380328065</v>
      </c>
      <c r="D70" s="393">
        <f ca="1">(E70+D68)/(1+D69)</f>
        <v>146106.26015565652</v>
      </c>
      <c r="E70" s="393">
        <f ca="1">E68/E69</f>
        <v>148189.44191230298</v>
      </c>
      <c r="G70" s="306" t="s">
        <v>199</v>
      </c>
      <c r="H70" s="396">
        <f>H68+H69</f>
        <v>167504.2708096116</v>
      </c>
    </row>
    <row r="71" spans="1:15" x14ac:dyDescent="0.25">
      <c r="A71" s="77" t="s">
        <v>98</v>
      </c>
      <c r="B71" s="124">
        <f>'5 Leasing - NOA'!G21</f>
        <v>33629.003499999999</v>
      </c>
    </row>
    <row r="72" spans="1:15" x14ac:dyDescent="0.25">
      <c r="A72" s="306" t="s">
        <v>199</v>
      </c>
      <c r="B72" s="396">
        <f ca="1">B70+B71</f>
        <v>167504.25231855322</v>
      </c>
      <c r="C72" s="108"/>
    </row>
    <row r="94" spans="2:6" x14ac:dyDescent="0.25">
      <c r="B94" s="108"/>
      <c r="C94" s="108"/>
      <c r="D94" s="108"/>
      <c r="E94" s="108"/>
      <c r="F94" s="108"/>
    </row>
  </sheetData>
  <phoneticPr fontId="0" type="noConversion"/>
  <hyperlinks>
    <hyperlink ref="E1" location="Obsah!A1" display="Skok na obsah" xr:uid="{00000000-0004-0000-1D00-000000000000}"/>
  </hyperlinks>
  <printOptions gridLinesSet="0"/>
  <pageMargins left="0.78740157480314965" right="0.78740157480314965" top="0.98425196850393704" bottom="0.78740157480314965" header="0.51181102362204722" footer="0.51181102362204722"/>
  <pageSetup paperSize="9" scale="56" orientation="portrait" r:id="rId1"/>
  <headerFooter alignWithMargins="0">
    <oddHeader>&amp;L&amp;"Arial CE,Obyčejné"&amp;10Mařík, M. a kol.: Metody oceňování podniku pro pokročilé
Ekopress 2023&amp;R&amp;"Arial CE,Obyčejné"&amp;10Příklad: Vzájemná shoda metod DCF a EVA</oddHeader>
    <oddFooter>&amp;C&amp;"Arial CE,Obyčejné"&amp;10&amp;A - str. &amp;P&amp;R&amp;"Arial CE,Obyčejné"&amp;10©  Miloš Mařík, Pavla Maříková</oddFooter>
  </headerFooter>
  <legacy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pageSetUpPr fitToPage="1"/>
  </sheetPr>
  <dimension ref="A1:E34"/>
  <sheetViews>
    <sheetView showGridLines="0" workbookViewId="0"/>
  </sheetViews>
  <sheetFormatPr defaultRowHeight="15.75" x14ac:dyDescent="0.25"/>
  <cols>
    <col min="1" max="1" width="40.625" customWidth="1"/>
    <col min="2" max="3" width="9.875" customWidth="1"/>
    <col min="6" max="6" width="10" bestFit="1" customWidth="1"/>
  </cols>
  <sheetData>
    <row r="1" spans="1:5" ht="18.75" x14ac:dyDescent="0.3">
      <c r="A1" s="554" t="s">
        <v>404</v>
      </c>
      <c r="E1" s="555" t="s">
        <v>290</v>
      </c>
    </row>
    <row r="2" spans="1:5" ht="20.25" customHeight="1" x14ac:dyDescent="0.25">
      <c r="A2" s="3" t="s">
        <v>59</v>
      </c>
    </row>
    <row r="3" spans="1:5" ht="18" customHeight="1" x14ac:dyDescent="0.25">
      <c r="A3" s="159" t="s">
        <v>60</v>
      </c>
    </row>
    <row r="4" spans="1:5" x14ac:dyDescent="0.25">
      <c r="A4" s="106" t="s">
        <v>179</v>
      </c>
      <c r="B4" s="373">
        <f>'5 Leasing - WACC před leas. '!B4</f>
        <v>0.13</v>
      </c>
    </row>
    <row r="5" spans="1:5" x14ac:dyDescent="0.25">
      <c r="A5" s="285"/>
      <c r="B5" s="288">
        <f>rok+1</f>
        <v>2023</v>
      </c>
      <c r="C5" s="288">
        <f>B5+1</f>
        <v>2024</v>
      </c>
      <c r="D5" s="288">
        <f>C5+1</f>
        <v>2025</v>
      </c>
      <c r="E5" s="288">
        <f>D5+1</f>
        <v>2026</v>
      </c>
    </row>
    <row r="6" spans="1:5" x14ac:dyDescent="0.25">
      <c r="A6" s="40" t="s">
        <v>152</v>
      </c>
      <c r="B6" s="498">
        <f>'1 Výsledovka'!C4</f>
        <v>0.19</v>
      </c>
      <c r="C6" s="498">
        <f>'1 Výsledovka'!D4</f>
        <v>0.19</v>
      </c>
      <c r="D6" s="498">
        <f>'1 Výsledovka'!E4</f>
        <v>0.19</v>
      </c>
      <c r="E6" s="498">
        <f>D6</f>
        <v>0.19</v>
      </c>
    </row>
    <row r="7" spans="1:5" ht="19.5" customHeight="1" x14ac:dyDescent="0.25">
      <c r="A7" s="286" t="s">
        <v>65</v>
      </c>
      <c r="B7" s="126"/>
      <c r="C7" s="126"/>
      <c r="D7" s="126"/>
      <c r="E7" s="126"/>
    </row>
    <row r="8" spans="1:5" x14ac:dyDescent="0.25">
      <c r="A8" s="77" t="s">
        <v>66</v>
      </c>
      <c r="B8" s="70">
        <f>'1 Pasiva'!B13</f>
        <v>8000</v>
      </c>
      <c r="C8" s="70">
        <f>'1 Pasiva'!C13</f>
        <v>8000</v>
      </c>
      <c r="D8" s="70">
        <f>'1 Pasiva'!D13</f>
        <v>8000</v>
      </c>
      <c r="E8" s="70">
        <f>D8</f>
        <v>8000</v>
      </c>
    </row>
    <row r="9" spans="1:5" x14ac:dyDescent="0.25">
      <c r="A9" s="77" t="s">
        <v>67</v>
      </c>
      <c r="B9" s="70">
        <f>'1 Pasiva'!B14</f>
        <v>28773</v>
      </c>
      <c r="C9" s="70">
        <f>'1 Pasiva'!C14</f>
        <v>33307</v>
      </c>
      <c r="D9" s="70">
        <f>'1 Pasiva'!D14</f>
        <v>35796</v>
      </c>
      <c r="E9" s="70">
        <f>D9</f>
        <v>35796</v>
      </c>
    </row>
    <row r="10" spans="1:5" x14ac:dyDescent="0.25">
      <c r="A10" s="78" t="s">
        <v>68</v>
      </c>
      <c r="B10" s="69">
        <f>'5 Leasing - příprava'!B29</f>
        <v>19247.48</v>
      </c>
      <c r="C10" s="69">
        <f>'5 Leasing - příprava'!C29</f>
        <v>12712.026399999999</v>
      </c>
      <c r="D10" s="69">
        <f>'5 Leasing - příprava'!D29</f>
        <v>0.19115199999941979</v>
      </c>
      <c r="E10" s="69">
        <f>'5 Leasing - příprava'!E29</f>
        <v>0.22555935999931534</v>
      </c>
    </row>
    <row r="11" spans="1:5" x14ac:dyDescent="0.25">
      <c r="A11" s="127" t="s">
        <v>69</v>
      </c>
      <c r="B11" s="128">
        <f>SUM(B8:B10)</f>
        <v>56020.479999999996</v>
      </c>
      <c r="C11" s="128">
        <f>SUM(C8:C10)</f>
        <v>54019.026400000002</v>
      </c>
      <c r="D11" s="128">
        <f>SUM(D8:D10)</f>
        <v>43796.191151999999</v>
      </c>
      <c r="E11" s="128">
        <f>SUM(E8:E10)</f>
        <v>43796.225559359998</v>
      </c>
    </row>
    <row r="12" spans="1:5" x14ac:dyDescent="0.25">
      <c r="A12" s="77" t="s">
        <v>70</v>
      </c>
      <c r="B12" s="499">
        <f t="shared" ref="B12:E14" si="0">B8/B$11</f>
        <v>0.14280491705890419</v>
      </c>
      <c r="C12" s="499">
        <f t="shared" si="0"/>
        <v>0.14809596790511573</v>
      </c>
      <c r="D12" s="499">
        <f t="shared" si="0"/>
        <v>0.18266428631282178</v>
      </c>
      <c r="E12" s="499">
        <f t="shared" si="0"/>
        <v>0.18266414280739915</v>
      </c>
    </row>
    <row r="13" spans="1:5" x14ac:dyDescent="0.25">
      <c r="A13" s="77" t="s">
        <v>71</v>
      </c>
      <c r="B13" s="499">
        <f t="shared" si="0"/>
        <v>0.51361573481698131</v>
      </c>
      <c r="C13" s="499">
        <f t="shared" si="0"/>
        <v>0.61657905037696126</v>
      </c>
      <c r="D13" s="499">
        <f t="shared" si="0"/>
        <v>0.81733134910672112</v>
      </c>
      <c r="E13" s="499">
        <f t="shared" si="0"/>
        <v>0.81733070699170751</v>
      </c>
    </row>
    <row r="14" spans="1:5" x14ac:dyDescent="0.25">
      <c r="A14" s="77" t="s">
        <v>72</v>
      </c>
      <c r="B14" s="499">
        <f t="shared" si="0"/>
        <v>0.34357934812411461</v>
      </c>
      <c r="C14" s="499">
        <f t="shared" si="0"/>
        <v>0.23532498171792296</v>
      </c>
      <c r="D14" s="500">
        <f t="shared" si="0"/>
        <v>4.3645804571453155E-6</v>
      </c>
      <c r="E14" s="500">
        <f t="shared" si="0"/>
        <v>5.1502008933075619E-6</v>
      </c>
    </row>
    <row r="15" spans="1:5" x14ac:dyDescent="0.25">
      <c r="A15" s="87" t="s">
        <v>73</v>
      </c>
      <c r="B15" s="501">
        <f>'1 Výsledovka'!$B$22</f>
        <v>0.04</v>
      </c>
      <c r="C15" s="501">
        <f t="shared" ref="C15:E16" si="1">B15</f>
        <v>0.04</v>
      </c>
      <c r="D15" s="501">
        <f t="shared" si="1"/>
        <v>0.04</v>
      </c>
      <c r="E15" s="501">
        <f t="shared" si="1"/>
        <v>0.04</v>
      </c>
    </row>
    <row r="16" spans="1:5" x14ac:dyDescent="0.25">
      <c r="A16" s="77" t="s">
        <v>71</v>
      </c>
      <c r="B16" s="499">
        <f>'1 Výsledovka'!$B$23</f>
        <v>0.05</v>
      </c>
      <c r="C16" s="499">
        <f t="shared" si="1"/>
        <v>0.05</v>
      </c>
      <c r="D16" s="499">
        <f t="shared" si="1"/>
        <v>0.05</v>
      </c>
      <c r="E16" s="499">
        <f t="shared" si="1"/>
        <v>0.05</v>
      </c>
    </row>
    <row r="17" spans="1:5" x14ac:dyDescent="0.25">
      <c r="A17" s="78" t="s">
        <v>72</v>
      </c>
      <c r="B17" s="502">
        <f>'5 Leasing - příprava'!$B$19</f>
        <v>0.18</v>
      </c>
      <c r="C17" s="502">
        <f>'5 Leasing - příprava'!$B$19</f>
        <v>0.18</v>
      </c>
      <c r="D17" s="503">
        <v>0</v>
      </c>
      <c r="E17" s="503">
        <v>0</v>
      </c>
    </row>
    <row r="18" spans="1:5" x14ac:dyDescent="0.25">
      <c r="A18" s="77" t="s">
        <v>186</v>
      </c>
      <c r="B18" s="499">
        <f>B12*B15+B13*B16+B14*B17</f>
        <v>9.3237266085545861E-2</v>
      </c>
      <c r="C18" s="499">
        <f>C12*C15+C13*C16+C14*C17</f>
        <v>7.9111287944278824E-2</v>
      </c>
      <c r="D18" s="499">
        <f>D12*D15+D13*D16+D14*D17</f>
        <v>4.8173138907848932E-2</v>
      </c>
      <c r="E18" s="499">
        <f>E12*E15+E13*E16+E14*E17</f>
        <v>4.8173101061881343E-2</v>
      </c>
    </row>
    <row r="19" spans="1:5" x14ac:dyDescent="0.25">
      <c r="A19" s="157" t="s">
        <v>74</v>
      </c>
      <c r="B19" s="504">
        <f>B18*(1-B6)</f>
        <v>7.5522185529292157E-2</v>
      </c>
      <c r="C19" s="504">
        <f>C18*(1-C6)</f>
        <v>6.4080143234865855E-2</v>
      </c>
      <c r="D19" s="504">
        <f>D18*(1-D6)</f>
        <v>3.9020242515357635E-2</v>
      </c>
      <c r="E19" s="504">
        <f>E18*(1-E6)</f>
        <v>3.9020211860123888E-2</v>
      </c>
    </row>
    <row r="20" spans="1:5" ht="19.5" customHeight="1" x14ac:dyDescent="0.25">
      <c r="A20" s="286" t="s">
        <v>192</v>
      </c>
      <c r="B20" s="126"/>
      <c r="C20" s="126"/>
      <c r="D20" s="126"/>
      <c r="E20" s="126"/>
    </row>
    <row r="21" spans="1:5" x14ac:dyDescent="0.25">
      <c r="A21" s="212" t="s">
        <v>188</v>
      </c>
      <c r="B21" s="224">
        <f>B11*B6*B18</f>
        <v>992.40731600000004</v>
      </c>
      <c r="C21" s="224">
        <f>C11*C6*C18</f>
        <v>811.96780287999991</v>
      </c>
      <c r="D21" s="224">
        <f>D11*D6*D18</f>
        <v>400.86200000000008</v>
      </c>
      <c r="E21" s="224">
        <f>E11*E6*E18</f>
        <v>400.86200000000002</v>
      </c>
    </row>
    <row r="22" spans="1:5" x14ac:dyDescent="0.25">
      <c r="A22" s="506" t="s">
        <v>187</v>
      </c>
      <c r="B22" s="382">
        <f>(B21+C22)/(1+B18)</f>
        <v>19758.460923918472</v>
      </c>
      <c r="C22" s="382">
        <f>(C21+D22)/(1+C18)</f>
        <v>20608.278486522719</v>
      </c>
      <c r="D22" s="382">
        <f>(D21+E22)/(1+D18)</f>
        <v>21426.658137025901</v>
      </c>
      <c r="E22" s="382">
        <f>E21/(E18-'7 Růst - Hodnota entity'!B3)</f>
        <v>22057.985515791843</v>
      </c>
    </row>
    <row r="23" spans="1:5" ht="19.5" customHeight="1" x14ac:dyDescent="0.25">
      <c r="A23" s="286" t="s">
        <v>75</v>
      </c>
      <c r="B23" s="126"/>
      <c r="C23" s="126"/>
      <c r="D23" s="126"/>
      <c r="E23" s="126"/>
    </row>
    <row r="24" spans="1:5" x14ac:dyDescent="0.25">
      <c r="A24" s="127" t="s">
        <v>76</v>
      </c>
      <c r="B24" s="131">
        <f ca="1">'7 Růst - Hodnota entity'!B50</f>
        <v>170056.37440113601</v>
      </c>
      <c r="C24" s="131">
        <f ca="1">'7 Růst - Hodnota entity'!C50</f>
        <v>178691.97453177851</v>
      </c>
      <c r="D24" s="131">
        <f ca="1">'7 Růst - Hodnota entity'!D50</f>
        <v>191226.43465104495</v>
      </c>
      <c r="E24" s="131">
        <f ca="1">'7 Růst - Hodnota entity'!E50</f>
        <v>198102.83995643182</v>
      </c>
    </row>
    <row r="25" spans="1:5" x14ac:dyDescent="0.25">
      <c r="A25" s="127" t="s">
        <v>77</v>
      </c>
      <c r="B25" s="214">
        <f ca="1">$B$4+($B$4-B18)*(B11-B22)/B24</f>
        <v>0.13783911196030968</v>
      </c>
      <c r="C25" s="214">
        <f ca="1">$B$4+($B$4-C18)*(C11-C22)/C24</f>
        <v>0.13951486452925654</v>
      </c>
      <c r="D25" s="214">
        <f ca="1">$B$4+($B$4-D18)*(D11-D22)/D24</f>
        <v>0.13957204831043776</v>
      </c>
      <c r="E25" s="214">
        <f ca="1">$B$4+($B$4-E18)*(E11-E22)/E24</f>
        <v>0.13897903720879931</v>
      </c>
    </row>
    <row r="26" spans="1:5" ht="19.5" customHeight="1" x14ac:dyDescent="0.25">
      <c r="A26" s="286" t="s">
        <v>78</v>
      </c>
      <c r="B26" s="126"/>
      <c r="C26" s="126"/>
      <c r="D26" s="126"/>
      <c r="E26" s="126"/>
    </row>
    <row r="27" spans="1:5" x14ac:dyDescent="0.25">
      <c r="A27" s="78" t="s">
        <v>79</v>
      </c>
      <c r="B27" s="69">
        <f ca="1">B11+B24</f>
        <v>226076.85440113599</v>
      </c>
      <c r="C27" s="69">
        <f ca="1">C11+C24</f>
        <v>232711.00093177852</v>
      </c>
      <c r="D27" s="69">
        <f ca="1">D11+D24</f>
        <v>235022.62580304494</v>
      </c>
      <c r="E27" s="69">
        <f ca="1">E11+E24</f>
        <v>241899.06551579182</v>
      </c>
    </row>
    <row r="28" spans="1:5" x14ac:dyDescent="0.25">
      <c r="A28" s="78" t="s">
        <v>80</v>
      </c>
      <c r="B28" s="502">
        <f ca="1">B11/B27</f>
        <v>0.24779396435072878</v>
      </c>
      <c r="C28" s="502">
        <f ca="1">C11/C27</f>
        <v>0.23212923404440258</v>
      </c>
      <c r="D28" s="502">
        <f ca="1">D11/D27</f>
        <v>0.18634882919188531</v>
      </c>
      <c r="E28" s="502">
        <f ca="1">E11/E27</f>
        <v>0.18105165253935576</v>
      </c>
    </row>
    <row r="29" spans="1:5" x14ac:dyDescent="0.25">
      <c r="A29" s="78" t="s">
        <v>81</v>
      </c>
      <c r="B29" s="502">
        <f ca="1">B24/B27</f>
        <v>0.75220603564927124</v>
      </c>
      <c r="C29" s="502">
        <f ca="1">C24/C27</f>
        <v>0.76787076595559745</v>
      </c>
      <c r="D29" s="502">
        <f ca="1">D24/D27</f>
        <v>0.81365117080811478</v>
      </c>
      <c r="E29" s="502">
        <f ca="1">E24/E27</f>
        <v>0.81894834746064427</v>
      </c>
    </row>
    <row r="30" spans="1:5" ht="19.5" customHeight="1" x14ac:dyDescent="0.25">
      <c r="A30" s="286" t="s">
        <v>82</v>
      </c>
      <c r="B30" s="126"/>
      <c r="C30" s="126"/>
      <c r="D30" s="126"/>
      <c r="E30" s="126"/>
    </row>
    <row r="31" spans="1:5" x14ac:dyDescent="0.25">
      <c r="A31" s="157" t="s">
        <v>82</v>
      </c>
      <c r="B31" s="505">
        <f ca="1">B19*B28+B25*B29</f>
        <v>0.12239735371381513</v>
      </c>
      <c r="C31" s="505">
        <f ca="1">C19*C28+C25*C29</f>
        <v>0.12200426045483664</v>
      </c>
      <c r="D31" s="505">
        <f ca="1">D19*D28+D25*D29</f>
        <v>0.12083433702739477</v>
      </c>
      <c r="E31" s="505">
        <f ca="1">E19*E28+E25*E29</f>
        <v>0.12088132669352879</v>
      </c>
    </row>
    <row r="34" spans="1:5" x14ac:dyDescent="0.25">
      <c r="A34" s="1"/>
      <c r="B34" s="211"/>
      <c r="C34" s="211"/>
      <c r="D34" s="211"/>
      <c r="E34" s="211"/>
    </row>
  </sheetData>
  <phoneticPr fontId="0" type="noConversion"/>
  <hyperlinks>
    <hyperlink ref="E1" location="Obsah!A1" display="Skok na obsah" xr:uid="{00000000-0004-0000-1E00-000000000000}"/>
  </hyperlinks>
  <printOptions gridLinesSet="0"/>
  <pageMargins left="0.78740157480314965" right="0.78740157480314965" top="0.98425196850393704" bottom="0.78740157480314965" header="0.51181102362204722" footer="0.51181102362204722"/>
  <pageSetup paperSize="9" orientation="portrait" r:id="rId1"/>
  <headerFooter alignWithMargins="0">
    <oddHeader>&amp;L&amp;"Arial CE,Obyčejné"&amp;10Mařík, M. a kol.: Metody oceňování podniku pro pokročilé
Ekopress 2023&amp;R&amp;"Arial CE,Obyčejné"&amp;10Příklad: Vzájemná shoda metod DCF a EVA</oddHeader>
    <oddFooter>&amp;C&amp;"Arial CE,Obyčejné"&amp;10&amp;A - str. &amp;P&amp;R&amp;"Arial CE,Obyčejné"&amp;10©  Miloš Mařík, Pavla Maříková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rgb="FFFFFF99"/>
    <pageSetUpPr fitToPage="1"/>
  </sheetPr>
  <dimension ref="A1:F92"/>
  <sheetViews>
    <sheetView showGridLines="0" workbookViewId="0"/>
  </sheetViews>
  <sheetFormatPr defaultRowHeight="15.75" x14ac:dyDescent="0.25"/>
  <cols>
    <col min="1" max="1" width="40.625" customWidth="1"/>
    <col min="2" max="5" width="8.625" customWidth="1"/>
    <col min="6" max="6" width="12.25" customWidth="1"/>
    <col min="7" max="7" width="9.5" customWidth="1"/>
    <col min="8" max="8" width="9.625" customWidth="1"/>
    <col min="9" max="10" width="9.25" customWidth="1"/>
  </cols>
  <sheetData>
    <row r="1" spans="1:6" ht="18.75" x14ac:dyDescent="0.3">
      <c r="A1" s="554" t="s">
        <v>404</v>
      </c>
      <c r="E1" s="555" t="s">
        <v>290</v>
      </c>
    </row>
    <row r="2" spans="1:6" ht="20.25" customHeight="1" x14ac:dyDescent="0.25">
      <c r="A2" s="3" t="s">
        <v>236</v>
      </c>
    </row>
    <row r="3" spans="1:6" x14ac:dyDescent="0.25">
      <c r="A3" s="40" t="s">
        <v>289</v>
      </c>
      <c r="B3" s="507">
        <v>0.03</v>
      </c>
    </row>
    <row r="4" spans="1:6" x14ac:dyDescent="0.25">
      <c r="A4" s="130"/>
    </row>
    <row r="5" spans="1:6" x14ac:dyDescent="0.25">
      <c r="A5" s="165" t="s">
        <v>152</v>
      </c>
      <c r="B5" s="164">
        <f>'1 Společné úpravy - WACC'!B6</f>
        <v>0.19</v>
      </c>
      <c r="C5" s="164">
        <f>'1 Společné úpravy - WACC'!C6</f>
        <v>0.19</v>
      </c>
      <c r="D5" s="164">
        <f>'1 Společné úpravy - WACC'!D6</f>
        <v>0.19</v>
      </c>
      <c r="E5" s="164">
        <f>'1 Společné úpravy - WACC'!E6</f>
        <v>0.19</v>
      </c>
    </row>
    <row r="6" spans="1:6" x14ac:dyDescent="0.25">
      <c r="A6" s="134"/>
      <c r="B6" s="332"/>
      <c r="C6" s="332"/>
      <c r="D6" s="332"/>
      <c r="E6" s="332"/>
    </row>
    <row r="7" spans="1:6" x14ac:dyDescent="0.25">
      <c r="A7" s="2" t="s">
        <v>234</v>
      </c>
    </row>
    <row r="8" spans="1:6" ht="31.5" x14ac:dyDescent="0.25">
      <c r="A8" s="301"/>
      <c r="B8" s="302">
        <f>rok+1</f>
        <v>2023</v>
      </c>
      <c r="C8" s="302">
        <f>B8+1</f>
        <v>2024</v>
      </c>
      <c r="D8" s="302">
        <f>C8+1</f>
        <v>2025</v>
      </c>
      <c r="E8" s="300" t="str">
        <f>FIXED(D8+1,0,1)&amp;" 2.fáze"</f>
        <v>2026 2.fáze</v>
      </c>
      <c r="F8" s="484"/>
    </row>
    <row r="9" spans="1:6" x14ac:dyDescent="0.25">
      <c r="A9" s="88" t="s">
        <v>114</v>
      </c>
      <c r="B9" s="133">
        <f>'2 Rezervy - Výsledovka'!C10</f>
        <v>23884.600000000006</v>
      </c>
      <c r="C9" s="133">
        <f>'2 Rezervy - Výsledovka'!D10</f>
        <v>23966</v>
      </c>
      <c r="D9" s="133">
        <f>'2 Rezervy - Výsledovka'!E10</f>
        <v>29477</v>
      </c>
      <c r="E9" s="334">
        <f>D9*(1+B3)</f>
        <v>30361.31</v>
      </c>
    </row>
    <row r="10" spans="1:6" x14ac:dyDescent="0.25">
      <c r="A10" s="176" t="s">
        <v>169</v>
      </c>
      <c r="B10" s="166">
        <f>'2 Rezervy - Výsledovka'!C8</f>
        <v>100</v>
      </c>
      <c r="C10" s="166">
        <f>'2 Rezervy - Výsledovka'!D8</f>
        <v>-500</v>
      </c>
      <c r="D10" s="166">
        <f>'2 Rezervy - Výsledovka'!E8</f>
        <v>0</v>
      </c>
      <c r="E10" s="136">
        <v>0</v>
      </c>
    </row>
    <row r="11" spans="1:6" x14ac:dyDescent="0.25">
      <c r="A11" s="176" t="s">
        <v>168</v>
      </c>
      <c r="B11" s="166">
        <f>'4 Goodwill - příprava'!P11</f>
        <v>500</v>
      </c>
      <c r="C11" s="166">
        <f>'4 Goodwill - příprava'!Q11</f>
        <v>500</v>
      </c>
      <c r="D11" s="136">
        <v>0</v>
      </c>
      <c r="E11" s="136">
        <v>0</v>
      </c>
    </row>
    <row r="12" spans="1:6" x14ac:dyDescent="0.25">
      <c r="A12" s="370" t="s">
        <v>200</v>
      </c>
      <c r="B12" s="166">
        <f>'3 Marketing - příprava'!C11</f>
        <v>3600</v>
      </c>
      <c r="C12" s="136">
        <f>'3 Marketing - příprava'!D11</f>
        <v>0</v>
      </c>
      <c r="D12" s="136">
        <f>'3 Marketing - příprava'!E11</f>
        <v>0</v>
      </c>
      <c r="E12" s="136">
        <v>0</v>
      </c>
    </row>
    <row r="13" spans="1:6" x14ac:dyDescent="0.25">
      <c r="A13" s="371" t="s">
        <v>201</v>
      </c>
      <c r="B13" s="133">
        <f>-'3 Marketing - příprava'!C14</f>
        <v>-2030</v>
      </c>
      <c r="C13" s="81">
        <f>-'3 Marketing - příprava'!D14</f>
        <v>-2030</v>
      </c>
      <c r="D13" s="81">
        <f>-'3 Marketing - příprava'!E14</f>
        <v>-1200</v>
      </c>
      <c r="E13" s="81">
        <v>0</v>
      </c>
    </row>
    <row r="14" spans="1:6" x14ac:dyDescent="0.25">
      <c r="A14" s="135" t="s">
        <v>174</v>
      </c>
      <c r="B14" s="124">
        <f>'5 Leasing - příprava'!C34</f>
        <v>10000</v>
      </c>
      <c r="C14" s="124">
        <f>'5 Leasing - příprava'!D34</f>
        <v>10000</v>
      </c>
      <c r="D14" s="124">
        <f>'5 Leasing - příprava'!E34</f>
        <v>5000</v>
      </c>
      <c r="E14" s="79">
        <v>0</v>
      </c>
    </row>
    <row r="15" spans="1:6" x14ac:dyDescent="0.25">
      <c r="A15" s="88" t="s">
        <v>173</v>
      </c>
      <c r="B15" s="133">
        <f>-'5 Leasing - příprava'!C31</f>
        <v>-6196.5</v>
      </c>
      <c r="C15" s="133">
        <f>-'5 Leasing - příprava'!D31</f>
        <v>-6196.5</v>
      </c>
      <c r="D15" s="133">
        <f>-'5 Leasing - příprava'!E31</f>
        <v>-6196.5</v>
      </c>
      <c r="E15" s="133">
        <f>-'5 Leasing - příprava'!F31</f>
        <v>0</v>
      </c>
    </row>
    <row r="16" spans="1:6" x14ac:dyDescent="0.25">
      <c r="A16" s="89" t="s">
        <v>249</v>
      </c>
      <c r="B16" s="167">
        <f>SUM(B9:B15)</f>
        <v>29858.100000000006</v>
      </c>
      <c r="C16" s="167">
        <f>SUM(C9:C15)</f>
        <v>25739.5</v>
      </c>
      <c r="D16" s="167">
        <f>SUM(D9:D15)</f>
        <v>27080.5</v>
      </c>
      <c r="E16" s="167">
        <f>SUM(E9:E15)</f>
        <v>30361.31</v>
      </c>
    </row>
    <row r="17" spans="1:6" x14ac:dyDescent="0.25">
      <c r="A17" s="88" t="s">
        <v>277</v>
      </c>
      <c r="B17" s="133">
        <f>'1 Společné úpravy - Hodnota'!B10+'5 Leasing - příprava'!C26*B5</f>
        <v>5215.3378160000011</v>
      </c>
      <c r="C17" s="133">
        <f>'1 Společné úpravy - Hodnota'!C10+'5 Leasing - příprava'!D26*C5</f>
        <v>4893.2913028800003</v>
      </c>
      <c r="D17" s="133">
        <f>'1 Společné úpravy - Hodnota'!D10+'5 Leasing - příprava'!E26*D5</f>
        <v>5600.6365373983999</v>
      </c>
      <c r="E17" s="133">
        <f>'1 Společné úpravy - Hodnota'!E10+'5 Leasing - příprava'!F26*E5</f>
        <v>5600.63</v>
      </c>
      <c r="F17" s="205"/>
    </row>
    <row r="18" spans="1:6" x14ac:dyDescent="0.25">
      <c r="A18" s="303" t="s">
        <v>248</v>
      </c>
      <c r="B18" s="304">
        <f>B16-B17</f>
        <v>24642.762184000007</v>
      </c>
      <c r="C18" s="305">
        <f>C16-C17</f>
        <v>20846.208697120001</v>
      </c>
      <c r="D18" s="305">
        <f>D16-D17</f>
        <v>21479.863462601599</v>
      </c>
      <c r="E18" s="305">
        <f>E16-E17</f>
        <v>24760.68</v>
      </c>
      <c r="F18" s="205"/>
    </row>
    <row r="19" spans="1:6" x14ac:dyDescent="0.25">
      <c r="B19" s="108"/>
      <c r="F19" s="205"/>
    </row>
    <row r="20" spans="1:6" x14ac:dyDescent="0.25">
      <c r="A20" s="2" t="s">
        <v>235</v>
      </c>
      <c r="F20" s="205"/>
    </row>
    <row r="21" spans="1:6" ht="31.5" x14ac:dyDescent="0.25">
      <c r="A21" s="301"/>
      <c r="B21" s="302">
        <f>rok+1</f>
        <v>2023</v>
      </c>
      <c r="C21" s="302">
        <f>B21+1</f>
        <v>2024</v>
      </c>
      <c r="D21" s="302">
        <f>C21+1</f>
        <v>2025</v>
      </c>
      <c r="E21" s="300" t="str">
        <f>FIXED(D21+1,0,1)&amp;" 2.fáze"</f>
        <v>2026 2.fáze</v>
      </c>
      <c r="F21" s="484"/>
    </row>
    <row r="22" spans="1:6" x14ac:dyDescent="0.25">
      <c r="A22" s="88" t="s">
        <v>114</v>
      </c>
      <c r="B22" s="133">
        <f>'2 Rezervy - Výsledovka'!C10</f>
        <v>23884.600000000006</v>
      </c>
      <c r="C22" s="133">
        <f>'2 Rezervy - Výsledovka'!D10</f>
        <v>23966</v>
      </c>
      <c r="D22" s="133">
        <f>'2 Rezervy - Výsledovka'!E10</f>
        <v>29477</v>
      </c>
      <c r="E22" s="335">
        <f>D22*(1+B3)</f>
        <v>30361.31</v>
      </c>
      <c r="F22" s="205"/>
    </row>
    <row r="23" spans="1:6" x14ac:dyDescent="0.25">
      <c r="A23" s="176" t="s">
        <v>168</v>
      </c>
      <c r="B23" s="166">
        <f>'4 Goodwill - příprava'!P11</f>
        <v>500</v>
      </c>
      <c r="C23" s="166">
        <f>'4 Goodwill - příprava'!Q11</f>
        <v>500</v>
      </c>
      <c r="D23" s="166">
        <v>0</v>
      </c>
      <c r="E23" s="136">
        <v>0</v>
      </c>
      <c r="F23" s="205"/>
    </row>
    <row r="24" spans="1:6" x14ac:dyDescent="0.25">
      <c r="A24" s="135" t="str">
        <f>A12</f>
        <v>Marketing – původní výdaj vrácený k zisku</v>
      </c>
      <c r="B24" s="166">
        <f>'3 Marketing - příprava'!C11</f>
        <v>3600</v>
      </c>
      <c r="C24" s="166">
        <f>'3 Marketing - příprava'!D11</f>
        <v>0</v>
      </c>
      <c r="D24" s="166">
        <f>'3 Marketing - příprava'!E11</f>
        <v>0</v>
      </c>
      <c r="E24" s="136">
        <v>0</v>
      </c>
      <c r="F24" s="205"/>
    </row>
    <row r="25" spans="1:6" x14ac:dyDescent="0.25">
      <c r="A25" s="88" t="str">
        <f>A13</f>
        <v>Marketing – odpisy započítaný nově do nákladů</v>
      </c>
      <c r="B25" s="133">
        <f>-'3 Marketing - příprava'!C14</f>
        <v>-2030</v>
      </c>
      <c r="C25" s="133">
        <f>-'3 Marketing - příprava'!D14</f>
        <v>-2030</v>
      </c>
      <c r="D25" s="133">
        <f>-'3 Marketing - příprava'!E14</f>
        <v>-1200</v>
      </c>
      <c r="E25" s="81">
        <v>0</v>
      </c>
      <c r="F25" s="205"/>
    </row>
    <row r="26" spans="1:6" x14ac:dyDescent="0.25">
      <c r="A26" s="135" t="s">
        <v>174</v>
      </c>
      <c r="B26" s="124">
        <f>'5 Leasing - příprava'!C34</f>
        <v>10000</v>
      </c>
      <c r="C26" s="124">
        <f>'5 Leasing - příprava'!D34</f>
        <v>10000</v>
      </c>
      <c r="D26" s="124">
        <f>'5 Leasing - příprava'!E34</f>
        <v>5000</v>
      </c>
      <c r="E26" s="124">
        <f>'5 Leasing - příprava'!F34</f>
        <v>0</v>
      </c>
      <c r="F26" s="205"/>
    </row>
    <row r="27" spans="1:6" x14ac:dyDescent="0.25">
      <c r="A27" s="88" t="s">
        <v>173</v>
      </c>
      <c r="B27" s="133">
        <f>-'5 Leasing - příprava'!C31</f>
        <v>-6196.5</v>
      </c>
      <c r="C27" s="133">
        <f>-'5 Leasing - příprava'!D31</f>
        <v>-6196.5</v>
      </c>
      <c r="D27" s="133">
        <f>-'5 Leasing - příprava'!E31</f>
        <v>-6196.5</v>
      </c>
      <c r="E27" s="133">
        <f>-'5 Leasing - příprava'!F31</f>
        <v>0</v>
      </c>
      <c r="F27" s="205"/>
    </row>
    <row r="28" spans="1:6" x14ac:dyDescent="0.25">
      <c r="A28" s="89" t="s">
        <v>101</v>
      </c>
      <c r="B28" s="167">
        <f>SUM(B22:B27)</f>
        <v>29758.100000000006</v>
      </c>
      <c r="C28" s="167">
        <f>SUM(C22:C27)</f>
        <v>26239.5</v>
      </c>
      <c r="D28" s="167">
        <f>SUM(D22:D27)</f>
        <v>27080.5</v>
      </c>
      <c r="E28" s="167">
        <f>SUM(E22:E27)</f>
        <v>30361.31</v>
      </c>
      <c r="F28" s="205"/>
    </row>
    <row r="29" spans="1:6" x14ac:dyDescent="0.25">
      <c r="A29" s="88" t="s">
        <v>277</v>
      </c>
      <c r="B29" s="133">
        <f>'1 Společné úpravy - Hodnota'!B10+'5 Leasing - příprava'!C26*B5</f>
        <v>5215.3378160000011</v>
      </c>
      <c r="C29" s="133">
        <f>'1 Společné úpravy - Hodnota'!C10+'5 Leasing - příprava'!D26*C5</f>
        <v>4893.2913028800003</v>
      </c>
      <c r="D29" s="133">
        <f>'1 Společné úpravy - Hodnota'!D10+'5 Leasing - příprava'!E26*D5</f>
        <v>5600.6365373983999</v>
      </c>
      <c r="E29" s="133">
        <f>'1 Společné úpravy - Hodnota'!E10+'5 Leasing - příprava'!F26*E5</f>
        <v>5600.63</v>
      </c>
      <c r="F29" s="205"/>
    </row>
    <row r="30" spans="1:6" x14ac:dyDescent="0.25">
      <c r="A30" s="303" t="s">
        <v>155</v>
      </c>
      <c r="B30" s="304">
        <f>B28-B29</f>
        <v>24542.762184000007</v>
      </c>
      <c r="C30" s="305">
        <f>C28-C29</f>
        <v>21346.208697120001</v>
      </c>
      <c r="D30" s="305">
        <f>D28-D29</f>
        <v>21479.863462601599</v>
      </c>
      <c r="E30" s="305">
        <f>E28-E29</f>
        <v>24760.68</v>
      </c>
      <c r="F30" s="205"/>
    </row>
    <row r="31" spans="1:6" x14ac:dyDescent="0.25">
      <c r="B31" s="108"/>
    </row>
    <row r="32" spans="1:6" x14ac:dyDescent="0.25">
      <c r="A32" s="3" t="s">
        <v>262</v>
      </c>
    </row>
    <row r="34" spans="1:6" x14ac:dyDescent="0.25">
      <c r="A34" s="2" t="s">
        <v>85</v>
      </c>
      <c r="C34" s="108"/>
    </row>
    <row r="35" spans="1:6" ht="31.5" x14ac:dyDescent="0.25">
      <c r="A35" s="301"/>
      <c r="B35" s="302">
        <f>rok+1</f>
        <v>2023</v>
      </c>
      <c r="C35" s="302">
        <f>B35+1</f>
        <v>2024</v>
      </c>
      <c r="D35" s="302">
        <f>C35+1</f>
        <v>2025</v>
      </c>
      <c r="E35" s="300" t="str">
        <f>FIXED(D35+1,0,1)&amp;" 2.fáze"</f>
        <v>2026 2.fáze</v>
      </c>
      <c r="F35" s="484"/>
    </row>
    <row r="36" spans="1:6" x14ac:dyDescent="0.25">
      <c r="A36" s="169" t="s">
        <v>109</v>
      </c>
      <c r="B36" s="41">
        <f>B18</f>
        <v>24642.762184000007</v>
      </c>
      <c r="C36" s="41">
        <f>C18</f>
        <v>20846.208697120001</v>
      </c>
      <c r="D36" s="41">
        <f>D18</f>
        <v>21479.863462601599</v>
      </c>
      <c r="E36" s="41">
        <f>E18</f>
        <v>24760.68</v>
      </c>
    </row>
    <row r="37" spans="1:6" x14ac:dyDescent="0.25">
      <c r="A37" s="74" t="s">
        <v>82</v>
      </c>
      <c r="B37" s="175">
        <f ca="1">'7 Růst - WACC '!B31</f>
        <v>0.12239735371381513</v>
      </c>
      <c r="C37" s="175">
        <f ca="1">'7 Růst - WACC '!C31</f>
        <v>0.12200426045483664</v>
      </c>
      <c r="D37" s="175">
        <f ca="1">'7 Růst - WACC '!D31</f>
        <v>0.12083433702739477</v>
      </c>
      <c r="E37" s="175">
        <f ca="1">'7 Růst - WACC '!E31</f>
        <v>0.12088132669352879</v>
      </c>
    </row>
    <row r="38" spans="1:6" x14ac:dyDescent="0.25">
      <c r="A38" s="74" t="s">
        <v>153</v>
      </c>
      <c r="B38" s="124">
        <f>'5 Leasing - NOA'!G25</f>
        <v>94223.1</v>
      </c>
      <c r="C38" s="124">
        <f>'5 Leasing - NOA'!H25</f>
        <v>97828.799999999988</v>
      </c>
      <c r="D38" s="124">
        <f>'5 Leasing - NOA'!I25</f>
        <v>92594.9</v>
      </c>
      <c r="E38" s="124">
        <f>'5 Leasing - NOA'!J25</f>
        <v>92552.400000000023</v>
      </c>
    </row>
    <row r="39" spans="1:6" x14ac:dyDescent="0.25">
      <c r="A39" s="107" t="s">
        <v>237</v>
      </c>
      <c r="B39" s="133">
        <f ca="1">B37*B38</f>
        <v>11532.658098712176</v>
      </c>
      <c r="C39" s="133">
        <f ca="1">C37*C38</f>
        <v>11935.530395184122</v>
      </c>
      <c r="D39" s="133">
        <f ca="1">D37*D38</f>
        <v>11188.643353617916</v>
      </c>
      <c r="E39" s="133">
        <f ca="1">E37*E38</f>
        <v>11187.856900670156</v>
      </c>
    </row>
    <row r="40" spans="1:6" x14ac:dyDescent="0.25">
      <c r="A40" s="303" t="s">
        <v>86</v>
      </c>
      <c r="B40" s="304">
        <f ca="1">B36-B39</f>
        <v>13110.10408528783</v>
      </c>
      <c r="C40" s="304">
        <f ca="1">C36-C39</f>
        <v>8910.6783019358791</v>
      </c>
      <c r="D40" s="304">
        <f ca="1">D36-D39</f>
        <v>10291.220108983684</v>
      </c>
      <c r="E40" s="304">
        <f ca="1">E36-E39</f>
        <v>13572.823099329844</v>
      </c>
    </row>
    <row r="42" spans="1:6" x14ac:dyDescent="0.25">
      <c r="A42" s="2" t="s">
        <v>90</v>
      </c>
    </row>
    <row r="43" spans="1:6" ht="31.5" x14ac:dyDescent="0.25">
      <c r="A43" s="301"/>
      <c r="B43" s="302">
        <f>rok+1</f>
        <v>2023</v>
      </c>
      <c r="C43" s="302">
        <f>B43+1</f>
        <v>2024</v>
      </c>
      <c r="D43" s="302">
        <f>C43+1</f>
        <v>2025</v>
      </c>
      <c r="E43" s="300" t="str">
        <f>FIXED(D43+1,0,1)&amp;" 2.fáze"</f>
        <v>2026 2.fáze</v>
      </c>
      <c r="F43" s="484"/>
    </row>
    <row r="44" spans="1:6" x14ac:dyDescent="0.25">
      <c r="A44" s="40" t="s">
        <v>88</v>
      </c>
      <c r="B44" s="102">
        <f ca="1">B40</f>
        <v>13110.10408528783</v>
      </c>
      <c r="C44" s="102">
        <f ca="1">C40</f>
        <v>8910.6783019358791</v>
      </c>
      <c r="D44" s="102">
        <f ca="1">D40</f>
        <v>10291.220108983684</v>
      </c>
      <c r="E44" s="102">
        <f ca="1">E40</f>
        <v>13572.823099329844</v>
      </c>
    </row>
    <row r="45" spans="1:6" x14ac:dyDescent="0.25">
      <c r="A45" s="40" t="s">
        <v>82</v>
      </c>
      <c r="B45" s="210">
        <f ca="1">'7 Růst - WACC '!B31</f>
        <v>0.12239735371381513</v>
      </c>
      <c r="C45" s="210">
        <f ca="1">'7 Růst - WACC '!C31</f>
        <v>0.12200426045483664</v>
      </c>
      <c r="D45" s="210">
        <f ca="1">'7 Růst - WACC '!D31</f>
        <v>0.12083433702739477</v>
      </c>
      <c r="E45" s="210">
        <f ca="1">'7 Růst - WACC '!E31</f>
        <v>0.12088132669352879</v>
      </c>
    </row>
    <row r="46" spans="1:6" x14ac:dyDescent="0.25">
      <c r="A46" s="477" t="s">
        <v>181</v>
      </c>
      <c r="B46" s="478">
        <f ca="1">(C46+B44)/(1+B45)</f>
        <v>131853.75440113599</v>
      </c>
      <c r="C46" s="405">
        <f ca="1">(D46+C44)/(1+C45)</f>
        <v>134882.20093177853</v>
      </c>
      <c r="D46" s="405">
        <f ca="1">(E46+D44)/(1+D45)</f>
        <v>142427.72580304497</v>
      </c>
      <c r="E46" s="510">
        <f ca="1">E44/(E45-B3)</f>
        <v>149346.6655157918</v>
      </c>
    </row>
    <row r="47" spans="1:6" x14ac:dyDescent="0.25">
      <c r="A47" s="466" t="s">
        <v>180</v>
      </c>
      <c r="B47" s="467">
        <f>'5 Leasing - NOA'!G25</f>
        <v>94223.1</v>
      </c>
      <c r="C47" s="81">
        <f>'5 Leasing - NOA'!H25</f>
        <v>97828.799999999988</v>
      </c>
      <c r="D47" s="81">
        <f>'5 Leasing - NOA'!I25</f>
        <v>92594.9</v>
      </c>
      <c r="E47" s="81">
        <f>'5 Leasing - NOA'!J25</f>
        <v>92552.400000000023</v>
      </c>
    </row>
    <row r="48" spans="1:6" x14ac:dyDescent="0.25">
      <c r="A48" s="103" t="s">
        <v>182</v>
      </c>
      <c r="B48" s="82">
        <f ca="1">B46+B47</f>
        <v>226076.85440113599</v>
      </c>
      <c r="C48" s="82">
        <f ca="1">C46+C47</f>
        <v>232711.00093177852</v>
      </c>
      <c r="D48" s="82">
        <f ca="1">D46+D47</f>
        <v>235022.62580304497</v>
      </c>
      <c r="E48" s="82">
        <f ca="1">E46+E47</f>
        <v>241899.06551579182</v>
      </c>
    </row>
    <row r="49" spans="1:6" x14ac:dyDescent="0.25">
      <c r="A49" s="78" t="s">
        <v>183</v>
      </c>
      <c r="B49" s="81">
        <f>'7 Růst - WACC '!B11</f>
        <v>56020.479999999996</v>
      </c>
      <c r="C49" s="81">
        <f>'7 Růst - WACC '!C11</f>
        <v>54019.026400000002</v>
      </c>
      <c r="D49" s="81">
        <f>'7 Růst - WACC '!D11</f>
        <v>43796.191151999999</v>
      </c>
      <c r="E49" s="81">
        <f>'7 Růst - WACC '!E11</f>
        <v>43796.225559359998</v>
      </c>
    </row>
    <row r="50" spans="1:6" x14ac:dyDescent="0.25">
      <c r="A50" s="392" t="s">
        <v>184</v>
      </c>
      <c r="B50" s="393">
        <f ca="1">B48-B49</f>
        <v>170056.37440113601</v>
      </c>
      <c r="C50" s="393">
        <f ca="1">C48-C49</f>
        <v>178691.97453177851</v>
      </c>
      <c r="D50" s="393">
        <f ca="1">D48-D49</f>
        <v>191226.43465104495</v>
      </c>
      <c r="E50" s="393">
        <f ca="1">E48-E49</f>
        <v>198102.83995643182</v>
      </c>
    </row>
    <row r="51" spans="1:6" x14ac:dyDescent="0.25">
      <c r="A51" s="77" t="s">
        <v>98</v>
      </c>
      <c r="B51" s="124">
        <f>'5 Leasing - NOA'!G21</f>
        <v>33629.003499999999</v>
      </c>
      <c r="C51" s="108"/>
      <c r="D51" s="108"/>
      <c r="E51" s="108"/>
    </row>
    <row r="52" spans="1:6" x14ac:dyDescent="0.25">
      <c r="A52" s="306" t="s">
        <v>199</v>
      </c>
      <c r="B52" s="396">
        <f ca="1">B50+B51</f>
        <v>203685.377901136</v>
      </c>
      <c r="C52" s="209"/>
      <c r="D52" s="209"/>
      <c r="E52" s="209"/>
    </row>
    <row r="54" spans="1:6" x14ac:dyDescent="0.25">
      <c r="A54" s="3" t="s">
        <v>263</v>
      </c>
    </row>
    <row r="55" spans="1:6" x14ac:dyDescent="0.25">
      <c r="A55" s="2"/>
    </row>
    <row r="56" spans="1:6" ht="31.5" x14ac:dyDescent="0.25">
      <c r="A56" s="301"/>
      <c r="B56" s="302">
        <f>rok+1</f>
        <v>2023</v>
      </c>
      <c r="C56" s="302">
        <f>B56+1</f>
        <v>2024</v>
      </c>
      <c r="D56" s="302">
        <f>C56+1</f>
        <v>2025</v>
      </c>
      <c r="E56" s="300" t="str">
        <f>FIXED(D56+1,0,1)&amp;" 2.fáze"</f>
        <v>2026 2.fáze</v>
      </c>
      <c r="F56" s="484"/>
    </row>
    <row r="57" spans="1:6" x14ac:dyDescent="0.25">
      <c r="A57" s="87" t="s">
        <v>141</v>
      </c>
      <c r="B57" s="136">
        <f>B30</f>
        <v>24542.762184000007</v>
      </c>
      <c r="C57" s="136">
        <f>C30</f>
        <v>21346.208697120001</v>
      </c>
      <c r="D57" s="136">
        <f>D30</f>
        <v>21479.863462601599</v>
      </c>
      <c r="E57" s="136">
        <f>E30</f>
        <v>24760.68</v>
      </c>
    </row>
    <row r="58" spans="1:6" x14ac:dyDescent="0.25">
      <c r="A58" s="77" t="s">
        <v>142</v>
      </c>
      <c r="B58" s="79">
        <f>'5 Leasing - NOA'!H7-'5 Leasing - NOA'!G7</f>
        <v>100</v>
      </c>
      <c r="C58" s="79">
        <f>'5 Leasing - NOA'!I7-'5 Leasing - NOA'!H7</f>
        <v>-500</v>
      </c>
      <c r="D58" s="79">
        <f>'5 Leasing - NOA'!J7-'5 Leasing - NOA'!I7</f>
        <v>0</v>
      </c>
      <c r="E58" s="79">
        <v>0</v>
      </c>
    </row>
    <row r="59" spans="1:6" x14ac:dyDescent="0.25">
      <c r="A59" s="78" t="s">
        <v>110</v>
      </c>
      <c r="B59" s="81">
        <f>-('5 Leasing - NOA'!H25-'5 Leasing - NOA'!G25)</f>
        <v>-3605.6999999999825</v>
      </c>
      <c r="C59" s="81">
        <f>-('5 Leasing - NOA'!I25-'5 Leasing - NOA'!H25)</f>
        <v>5233.8999999999942</v>
      </c>
      <c r="D59" s="81">
        <f>-('5 Leasing - NOA'!J25-'5 Leasing - NOA'!I25)</f>
        <v>42.499999999970896</v>
      </c>
      <c r="E59" s="335">
        <f>-'5 Leasing - NOA'!J25*B3</f>
        <v>-2776.5720000000006</v>
      </c>
    </row>
    <row r="60" spans="1:6" x14ac:dyDescent="0.25">
      <c r="A60" s="389" t="s">
        <v>111</v>
      </c>
      <c r="B60" s="305">
        <f>SUM(B57:B59)</f>
        <v>21037.062184000024</v>
      </c>
      <c r="C60" s="305">
        <f>SUM(C57:C59)</f>
        <v>26080.108697119995</v>
      </c>
      <c r="D60" s="305">
        <f>SUM(D57:D59)</f>
        <v>21522.36346260157</v>
      </c>
      <c r="E60" s="305">
        <f>SUM(E57:E59)</f>
        <v>21984.108</v>
      </c>
    </row>
    <row r="61" spans="1:6" x14ac:dyDescent="0.25">
      <c r="A61" s="78" t="s">
        <v>82</v>
      </c>
      <c r="B61" s="170">
        <f ca="1">'7 Růst - WACC '!B31</f>
        <v>0.12239735371381513</v>
      </c>
      <c r="C61" s="170">
        <f ca="1">'7 Růst - WACC '!C31</f>
        <v>0.12200426045483664</v>
      </c>
      <c r="D61" s="170">
        <f ca="1">'7 Růst - WACC '!D31</f>
        <v>0.12083433702739477</v>
      </c>
      <c r="E61" s="170">
        <f ca="1">'7 Růst - WACC '!E31</f>
        <v>0.12088132669352879</v>
      </c>
    </row>
    <row r="62" spans="1:6" x14ac:dyDescent="0.25">
      <c r="A62" s="78" t="s">
        <v>185</v>
      </c>
      <c r="B62" s="80">
        <f ca="1">(B60+C62)/(1+B61)</f>
        <v>226076.85440113602</v>
      </c>
      <c r="C62" s="80">
        <f ca="1">(C60+D62)/(1+C61)</f>
        <v>232711.00093177852</v>
      </c>
      <c r="D62" s="80">
        <f ca="1">(D60+E62)/(1+D61)</f>
        <v>235022.62580304497</v>
      </c>
      <c r="E62" s="511">
        <f ca="1">E60/(E61-B3)</f>
        <v>241899.06551579182</v>
      </c>
    </row>
    <row r="63" spans="1:6" x14ac:dyDescent="0.25">
      <c r="A63" s="78" t="s">
        <v>183</v>
      </c>
      <c r="B63" s="81">
        <f>'7 Růst - WACC '!B11</f>
        <v>56020.479999999996</v>
      </c>
      <c r="C63" s="81">
        <f>'7 Růst - WACC '!C11</f>
        <v>54019.026400000002</v>
      </c>
      <c r="D63" s="81">
        <f>'7 Růst - WACC '!D11</f>
        <v>43796.191151999999</v>
      </c>
      <c r="E63" s="81">
        <f>'7 Růst - WACC '!E11</f>
        <v>43796.225559359998</v>
      </c>
    </row>
    <row r="64" spans="1:6" x14ac:dyDescent="0.25">
      <c r="A64" s="392" t="s">
        <v>184</v>
      </c>
      <c r="B64" s="393">
        <f ca="1">B62-B63</f>
        <v>170056.37440113601</v>
      </c>
      <c r="C64" s="393">
        <f ca="1">C62-C63</f>
        <v>178691.97453177851</v>
      </c>
      <c r="D64" s="393">
        <f ca="1">D62-D63</f>
        <v>191226.43465104495</v>
      </c>
      <c r="E64" s="393">
        <f ca="1">E62-E63</f>
        <v>198102.83995643182</v>
      </c>
    </row>
    <row r="65" spans="1:5" x14ac:dyDescent="0.25">
      <c r="A65" s="77" t="s">
        <v>98</v>
      </c>
      <c r="B65" s="124">
        <f>'5 Leasing - NOA'!G21</f>
        <v>33629.003499999999</v>
      </c>
    </row>
    <row r="66" spans="1:5" x14ac:dyDescent="0.25">
      <c r="A66" s="306" t="s">
        <v>199</v>
      </c>
      <c r="B66" s="396">
        <f ca="1">B64+B65</f>
        <v>203685.377901136</v>
      </c>
      <c r="C66" s="199"/>
    </row>
    <row r="69" spans="1:5" x14ac:dyDescent="0.25">
      <c r="B69" s="108"/>
    </row>
    <row r="75" spans="1:5" x14ac:dyDescent="0.25">
      <c r="E75" s="108"/>
    </row>
    <row r="82" spans="5:5" x14ac:dyDescent="0.25">
      <c r="E82" s="222"/>
    </row>
    <row r="92" spans="5:5" x14ac:dyDescent="0.25">
      <c r="E92" s="222"/>
    </row>
  </sheetData>
  <phoneticPr fontId="0" type="noConversion"/>
  <hyperlinks>
    <hyperlink ref="E1" location="Obsah!A1" display="Skok na obsah" xr:uid="{00000000-0004-0000-1F00-000000000000}"/>
  </hyperlinks>
  <printOptions gridLinesSet="0"/>
  <pageMargins left="0.78740157480314965" right="0.78740157480314965" top="0.98425196850393704" bottom="0.78740157480314965" header="0.51181102362204722" footer="0.51181102362204722"/>
  <pageSetup paperSize="9" scale="66" orientation="portrait" r:id="rId1"/>
  <headerFooter alignWithMargins="0">
    <oddHeader>&amp;L&amp;"Arial CE,Obyčejné"&amp;10Mařík, M. a kol.: Metody oceňování podniku pro pokročilé
Ekopress 2023&amp;R&amp;"Arial CE,Obyčejné"&amp;10Příklad: Vzájemná shoda metod DCF a EVA</oddHeader>
    <oddFooter>&amp;C&amp;"Arial CE,Obyčejné"&amp;10&amp;A - str. &amp;P&amp;R&amp;"Arial CE,Obyčejné"&amp;10©  Miloš Mařík, Pavla Maříková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tabColor indexed="43"/>
    <pageSetUpPr fitToPage="1"/>
  </sheetPr>
  <dimension ref="A1:O72"/>
  <sheetViews>
    <sheetView showGridLines="0" workbookViewId="0"/>
  </sheetViews>
  <sheetFormatPr defaultRowHeight="15.75" x14ac:dyDescent="0.25"/>
  <cols>
    <col min="1" max="1" width="40.625" customWidth="1"/>
    <col min="2" max="5" width="8.625" customWidth="1"/>
    <col min="6" max="6" width="1.75" customWidth="1"/>
    <col min="7" max="7" width="30.625" style="205" customWidth="1"/>
    <col min="8" max="11" width="8.625" style="205" customWidth="1"/>
    <col min="12" max="12" width="9.375" style="205" bestFit="1" customWidth="1"/>
    <col min="13" max="15" width="9" style="205"/>
  </cols>
  <sheetData>
    <row r="1" spans="1:15" ht="18.75" x14ac:dyDescent="0.3">
      <c r="A1" s="554" t="s">
        <v>404</v>
      </c>
      <c r="E1" s="555" t="s">
        <v>290</v>
      </c>
      <c r="G1"/>
      <c r="H1"/>
      <c r="I1"/>
      <c r="J1"/>
      <c r="K1"/>
      <c r="L1"/>
      <c r="M1"/>
      <c r="N1"/>
      <c r="O1"/>
    </row>
    <row r="2" spans="1:15" ht="20.25" customHeight="1" x14ac:dyDescent="0.25">
      <c r="A2" s="3" t="s">
        <v>236</v>
      </c>
    </row>
    <row r="3" spans="1:15" x14ac:dyDescent="0.25">
      <c r="A3" s="40" t="s">
        <v>289</v>
      </c>
      <c r="B3" s="508">
        <f>'7 Růst - Hodnota entity'!B3</f>
        <v>0.03</v>
      </c>
    </row>
    <row r="4" spans="1:15" x14ac:dyDescent="0.25">
      <c r="A4" s="134"/>
      <c r="B4" s="332"/>
      <c r="C4" s="332"/>
      <c r="D4" s="332"/>
      <c r="E4" s="332"/>
      <c r="G4"/>
      <c r="H4"/>
      <c r="I4"/>
      <c r="J4"/>
      <c r="K4"/>
      <c r="L4"/>
      <c r="M4"/>
      <c r="N4"/>
      <c r="O4"/>
    </row>
    <row r="5" spans="1:15" x14ac:dyDescent="0.25">
      <c r="A5" s="165" t="s">
        <v>152</v>
      </c>
      <c r="B5" s="164">
        <f>'1 Společné úpravy - WACC'!B6</f>
        <v>0.19</v>
      </c>
      <c r="C5" s="164">
        <f>'1 Společné úpravy - WACC'!C6</f>
        <v>0.19</v>
      </c>
      <c r="D5" s="164">
        <f>'1 Společné úpravy - WACC'!D6</f>
        <v>0.19</v>
      </c>
      <c r="E5" s="164">
        <f>'1 Společné úpravy - WACC'!E6</f>
        <v>0.19</v>
      </c>
      <c r="F5" s="483"/>
    </row>
    <row r="6" spans="1:15" x14ac:dyDescent="0.25">
      <c r="A6" s="134"/>
      <c r="B6" s="332"/>
      <c r="C6" s="332"/>
      <c r="D6" s="332"/>
      <c r="E6" s="332"/>
      <c r="F6" s="483"/>
      <c r="G6"/>
      <c r="H6"/>
      <c r="I6"/>
      <c r="J6"/>
      <c r="K6"/>
      <c r="L6"/>
      <c r="M6"/>
      <c r="N6"/>
      <c r="O6"/>
    </row>
    <row r="7" spans="1:15" x14ac:dyDescent="0.25">
      <c r="A7" s="2" t="s">
        <v>234</v>
      </c>
      <c r="G7"/>
      <c r="H7"/>
      <c r="I7"/>
      <c r="J7"/>
      <c r="K7"/>
      <c r="L7"/>
      <c r="M7"/>
      <c r="N7"/>
      <c r="O7"/>
    </row>
    <row r="8" spans="1:15" ht="31.5" x14ac:dyDescent="0.25">
      <c r="A8" s="301"/>
      <c r="B8" s="302">
        <f>rok+1</f>
        <v>2023</v>
      </c>
      <c r="C8" s="302">
        <f>B8+1</f>
        <v>2024</v>
      </c>
      <c r="D8" s="302">
        <f>C8+1</f>
        <v>2025</v>
      </c>
      <c r="E8" s="300" t="str">
        <f>FIXED(D8+1,0,1)&amp;" 2.fáze"</f>
        <v>2026 2.fáze</v>
      </c>
      <c r="F8" s="484"/>
      <c r="G8" s="484"/>
      <c r="H8"/>
      <c r="I8"/>
      <c r="J8"/>
      <c r="K8"/>
      <c r="L8"/>
      <c r="M8"/>
      <c r="N8"/>
      <c r="O8"/>
    </row>
    <row r="9" spans="1:15" x14ac:dyDescent="0.25">
      <c r="A9" s="88" t="s">
        <v>114</v>
      </c>
      <c r="B9" s="133">
        <f>'2 Rezervy - Výsledovka'!C10</f>
        <v>23884.600000000006</v>
      </c>
      <c r="C9" s="133">
        <f>'2 Rezervy - Výsledovka'!D10</f>
        <v>23966</v>
      </c>
      <c r="D9" s="133">
        <f>'2 Rezervy - Výsledovka'!E10</f>
        <v>29477</v>
      </c>
      <c r="E9" s="334">
        <f>D9*(1+B3)</f>
        <v>30361.31</v>
      </c>
      <c r="F9" s="108"/>
    </row>
    <row r="10" spans="1:15" x14ac:dyDescent="0.25">
      <c r="A10" s="176" t="s">
        <v>169</v>
      </c>
      <c r="B10" s="166">
        <f>'2 Rezervy - Výsledovka'!C8</f>
        <v>100</v>
      </c>
      <c r="C10" s="166">
        <f>'2 Rezervy - Výsledovka'!D8</f>
        <v>-500</v>
      </c>
      <c r="D10" s="166">
        <f>'2 Rezervy - Výsledovka'!E8</f>
        <v>0</v>
      </c>
      <c r="E10" s="136">
        <v>0</v>
      </c>
      <c r="F10" s="108"/>
    </row>
    <row r="11" spans="1:15" x14ac:dyDescent="0.25">
      <c r="A11" s="176" t="s">
        <v>168</v>
      </c>
      <c r="B11" s="166">
        <f>'4 Goodwill - příprava'!P11</f>
        <v>500</v>
      </c>
      <c r="C11" s="166">
        <f>'4 Goodwill - příprava'!Q11</f>
        <v>500</v>
      </c>
      <c r="D11" s="136">
        <v>0</v>
      </c>
      <c r="E11" s="136">
        <v>0</v>
      </c>
      <c r="F11" s="108"/>
    </row>
    <row r="12" spans="1:15" x14ac:dyDescent="0.25">
      <c r="A12" s="370" t="s">
        <v>200</v>
      </c>
      <c r="B12" s="166">
        <f>'3 Marketing - příprava'!C11</f>
        <v>3600</v>
      </c>
      <c r="C12" s="136">
        <f>'3 Marketing - příprava'!D11</f>
        <v>0</v>
      </c>
      <c r="D12" s="136">
        <f>'3 Marketing - příprava'!E11</f>
        <v>0</v>
      </c>
      <c r="E12" s="136">
        <v>0</v>
      </c>
      <c r="F12" s="108"/>
    </row>
    <row r="13" spans="1:15" x14ac:dyDescent="0.25">
      <c r="A13" s="371" t="s">
        <v>201</v>
      </c>
      <c r="B13" s="133">
        <f>-'3 Marketing - příprava'!C14</f>
        <v>-2030</v>
      </c>
      <c r="C13" s="81">
        <f>-'3 Marketing - příprava'!D14</f>
        <v>-2030</v>
      </c>
      <c r="D13" s="81">
        <f>-'3 Marketing - příprava'!E14</f>
        <v>-1200</v>
      </c>
      <c r="E13" s="81">
        <v>0</v>
      </c>
      <c r="F13" s="108"/>
    </row>
    <row r="14" spans="1:15" x14ac:dyDescent="0.25">
      <c r="A14" s="135" t="s">
        <v>174</v>
      </c>
      <c r="B14" s="124">
        <f>'5 Leasing - příprava'!C34</f>
        <v>10000</v>
      </c>
      <c r="C14" s="124">
        <f>'5 Leasing - příprava'!D34</f>
        <v>10000</v>
      </c>
      <c r="D14" s="124">
        <f>'5 Leasing - příprava'!E34</f>
        <v>5000</v>
      </c>
      <c r="E14" s="79">
        <v>0</v>
      </c>
      <c r="F14" s="108"/>
    </row>
    <row r="15" spans="1:15" x14ac:dyDescent="0.25">
      <c r="A15" s="88" t="s">
        <v>173</v>
      </c>
      <c r="B15" s="133">
        <f>-'5 Leasing - příprava'!C31</f>
        <v>-6196.5</v>
      </c>
      <c r="C15" s="133">
        <f>-'5 Leasing - příprava'!D31</f>
        <v>-6196.5</v>
      </c>
      <c r="D15" s="133">
        <f>-'5 Leasing - příprava'!E31</f>
        <v>-6196.5</v>
      </c>
      <c r="E15" s="133">
        <f>-'5 Leasing - příprava'!F31</f>
        <v>0</v>
      </c>
      <c r="F15" s="108"/>
    </row>
    <row r="16" spans="1:15" x14ac:dyDescent="0.25">
      <c r="A16" s="89" t="s">
        <v>249</v>
      </c>
      <c r="B16" s="167">
        <f>SUM(B9:B15)</f>
        <v>29858.100000000006</v>
      </c>
      <c r="C16" s="167">
        <f>SUM(C9:C15)</f>
        <v>25739.5</v>
      </c>
      <c r="D16" s="167">
        <f>SUM(D9:D15)</f>
        <v>27080.5</v>
      </c>
      <c r="E16" s="167">
        <f>SUM(E9:E15)</f>
        <v>30361.31</v>
      </c>
      <c r="F16" s="217"/>
    </row>
    <row r="17" spans="1:15" x14ac:dyDescent="0.25">
      <c r="A17" s="88" t="s">
        <v>193</v>
      </c>
      <c r="B17" s="133">
        <f>'1 Společné úpravy - Hodnota'!B10+'5 Leasing - příprava'!C26*B5</f>
        <v>5215.3378160000011</v>
      </c>
      <c r="C17" s="133">
        <f>'1 Společné úpravy - Hodnota'!C10+'5 Leasing - příprava'!D26*C5</f>
        <v>4893.2913028800003</v>
      </c>
      <c r="D17" s="133">
        <f>'1 Společné úpravy - Hodnota'!D10+'5 Leasing - příprava'!E26*D5</f>
        <v>5600.6365373983999</v>
      </c>
      <c r="E17" s="133">
        <f>'1 Společné úpravy - Hodnota'!E10+'5 Leasing - příprava'!F26*E5</f>
        <v>5600.63</v>
      </c>
      <c r="F17" s="108"/>
    </row>
    <row r="18" spans="1:15" x14ac:dyDescent="0.25">
      <c r="A18" s="482" t="s">
        <v>248</v>
      </c>
      <c r="B18" s="83">
        <f>B16-B17</f>
        <v>24642.762184000007</v>
      </c>
      <c r="C18" s="80">
        <f>C16-C17</f>
        <v>20846.208697120001</v>
      </c>
      <c r="D18" s="80">
        <f>D16-D17</f>
        <v>21479.863462601599</v>
      </c>
      <c r="E18" s="80">
        <f>E16-E17</f>
        <v>24760.68</v>
      </c>
      <c r="F18" s="217"/>
      <c r="H18"/>
      <c r="I18"/>
      <c r="J18"/>
      <c r="K18"/>
      <c r="L18"/>
      <c r="M18"/>
      <c r="N18"/>
      <c r="O18"/>
    </row>
    <row r="19" spans="1:15" x14ac:dyDescent="0.25">
      <c r="A19" s="203" t="s">
        <v>275</v>
      </c>
      <c r="B19" s="166">
        <f>'2 Rezervy - Výsledovka'!C12*(1-B5)</f>
        <v>1424.5065000000002</v>
      </c>
      <c r="C19" s="166">
        <f>'2 Rezervy - Výsledovka'!D12*(1-C5)</f>
        <v>1608.1335000000001</v>
      </c>
      <c r="D19" s="166">
        <f>'2 Rezervy - Výsledovka'!E12*(1-D5)</f>
        <v>1708.9380000000003</v>
      </c>
      <c r="E19" s="166">
        <f>D19</f>
        <v>1708.9380000000003</v>
      </c>
      <c r="F19" s="108"/>
      <c r="H19"/>
      <c r="I19"/>
      <c r="J19"/>
      <c r="K19"/>
      <c r="L19"/>
      <c r="M19"/>
      <c r="N19"/>
      <c r="O19"/>
    </row>
    <row r="20" spans="1:15" x14ac:dyDescent="0.25">
      <c r="A20" s="202" t="s">
        <v>276</v>
      </c>
      <c r="B20" s="133">
        <f>'5 Leasing - příprava'!C26*(1-B5)</f>
        <v>2806.282584</v>
      </c>
      <c r="C20" s="133">
        <f>'5 Leasing - příprava'!D26*(1-C5)</f>
        <v>1853.4134491199998</v>
      </c>
      <c r="D20" s="133">
        <f>'5 Leasing - příprava'!E26*(1-D5)</f>
        <v>2.7869961599915408E-2</v>
      </c>
      <c r="E20" s="133">
        <f>'5 Leasing - příprava'!F26*(1-E5)</f>
        <v>0</v>
      </c>
      <c r="F20" s="108"/>
      <c r="H20"/>
      <c r="I20"/>
      <c r="J20"/>
      <c r="K20"/>
      <c r="L20"/>
      <c r="M20"/>
      <c r="N20"/>
      <c r="O20"/>
    </row>
    <row r="21" spans="1:15" x14ac:dyDescent="0.25">
      <c r="A21" s="394" t="s">
        <v>175</v>
      </c>
      <c r="B21" s="395">
        <f>B18-B19-B20</f>
        <v>20411.973100000007</v>
      </c>
      <c r="C21" s="395">
        <f>C18-C19-C20</f>
        <v>17384.661748000002</v>
      </c>
      <c r="D21" s="395">
        <f>D18-D19-D20</f>
        <v>19770.897592639998</v>
      </c>
      <c r="E21" s="395">
        <f>E18-E19-E20</f>
        <v>23051.741999999998</v>
      </c>
      <c r="F21" s="217"/>
    </row>
    <row r="23" spans="1:15" x14ac:dyDescent="0.25">
      <c r="A23" s="3" t="s">
        <v>140</v>
      </c>
    </row>
    <row r="24" spans="1:15" ht="31.5" x14ac:dyDescent="0.25">
      <c r="A24" s="301"/>
      <c r="B24" s="302">
        <f>rok+1</f>
        <v>2023</v>
      </c>
      <c r="C24" s="302">
        <f>B24+1</f>
        <v>2024</v>
      </c>
      <c r="D24" s="302">
        <f>C24+1</f>
        <v>2025</v>
      </c>
      <c r="E24" s="300" t="str">
        <f>FIXED(D24+1,0,1)&amp;" 2.fáze"</f>
        <v>2026 2.fáze</v>
      </c>
      <c r="F24" s="484"/>
      <c r="G24" s="484"/>
      <c r="H24"/>
      <c r="I24"/>
      <c r="J24"/>
      <c r="K24"/>
      <c r="L24"/>
      <c r="M24"/>
      <c r="N24"/>
      <c r="O24"/>
    </row>
    <row r="25" spans="1:15" x14ac:dyDescent="0.25">
      <c r="A25" s="88" t="s">
        <v>114</v>
      </c>
      <c r="B25" s="133">
        <f>'2 Rezervy - Výsledovka'!C10</f>
        <v>23884.600000000006</v>
      </c>
      <c r="C25" s="133">
        <f>'2 Rezervy - Výsledovka'!D10</f>
        <v>23966</v>
      </c>
      <c r="D25" s="133">
        <f>'2 Rezervy - Výsledovka'!E10</f>
        <v>29477</v>
      </c>
      <c r="E25" s="335">
        <f>D25*(1+B3)</f>
        <v>30361.31</v>
      </c>
      <c r="F25" s="108"/>
    </row>
    <row r="26" spans="1:15" x14ac:dyDescent="0.25">
      <c r="A26" s="176" t="s">
        <v>168</v>
      </c>
      <c r="B26" s="166">
        <f>'4 Goodwill - příprava'!P11</f>
        <v>500</v>
      </c>
      <c r="C26" s="166">
        <f>'4 Goodwill - příprava'!Q11</f>
        <v>500</v>
      </c>
      <c r="D26" s="166">
        <v>0</v>
      </c>
      <c r="E26" s="136">
        <v>0</v>
      </c>
      <c r="F26" s="108"/>
    </row>
    <row r="27" spans="1:15" x14ac:dyDescent="0.25">
      <c r="A27" s="135" t="str">
        <f>A12</f>
        <v>Marketing – původní výdaj vrácený k zisku</v>
      </c>
      <c r="B27" s="166">
        <f>'3 Marketing - příprava'!C11</f>
        <v>3600</v>
      </c>
      <c r="C27" s="166">
        <f>'3 Marketing - příprava'!D11</f>
        <v>0</v>
      </c>
      <c r="D27" s="166">
        <f>'3 Marketing - příprava'!E11</f>
        <v>0</v>
      </c>
      <c r="E27" s="136">
        <v>0</v>
      </c>
      <c r="F27" s="108"/>
    </row>
    <row r="28" spans="1:15" x14ac:dyDescent="0.25">
      <c r="A28" s="88" t="str">
        <f>A13</f>
        <v>Marketing – odpisy započítaný nově do nákladů</v>
      </c>
      <c r="B28" s="133">
        <f>-'3 Marketing - příprava'!C14</f>
        <v>-2030</v>
      </c>
      <c r="C28" s="133">
        <f>-'3 Marketing - příprava'!D14</f>
        <v>-2030</v>
      </c>
      <c r="D28" s="133">
        <f>-'3 Marketing - příprava'!E14</f>
        <v>-1200</v>
      </c>
      <c r="E28" s="81">
        <v>0</v>
      </c>
      <c r="F28" s="108"/>
    </row>
    <row r="29" spans="1:15" x14ac:dyDescent="0.25">
      <c r="A29" s="135" t="s">
        <v>174</v>
      </c>
      <c r="B29" s="124">
        <f>'5 Leasing - příprava'!C34</f>
        <v>10000</v>
      </c>
      <c r="C29" s="124">
        <f>'5 Leasing - příprava'!D34</f>
        <v>10000</v>
      </c>
      <c r="D29" s="124">
        <f>'5 Leasing - příprava'!E34</f>
        <v>5000</v>
      </c>
      <c r="E29" s="124">
        <f>'5 Leasing - příprava'!F34</f>
        <v>0</v>
      </c>
      <c r="F29" s="108"/>
    </row>
    <row r="30" spans="1:15" x14ac:dyDescent="0.25">
      <c r="A30" s="88" t="s">
        <v>173</v>
      </c>
      <c r="B30" s="133">
        <f>-'5 Leasing - příprava'!C31</f>
        <v>-6196.5</v>
      </c>
      <c r="C30" s="133">
        <f>-'5 Leasing - příprava'!D31</f>
        <v>-6196.5</v>
      </c>
      <c r="D30" s="133">
        <f>-'5 Leasing - příprava'!E31</f>
        <v>-6196.5</v>
      </c>
      <c r="E30" s="133">
        <f>-'5 Leasing - příprava'!F31</f>
        <v>0</v>
      </c>
      <c r="F30" s="108"/>
    </row>
    <row r="31" spans="1:15" x14ac:dyDescent="0.25">
      <c r="A31" s="89" t="s">
        <v>101</v>
      </c>
      <c r="B31" s="167">
        <f>SUM(B25:B30)</f>
        <v>29758.100000000006</v>
      </c>
      <c r="C31" s="167">
        <f>SUM(C25:C30)</f>
        <v>26239.5</v>
      </c>
      <c r="D31" s="167">
        <f>SUM(D25:D30)</f>
        <v>27080.5</v>
      </c>
      <c r="E31" s="167">
        <f>SUM(E25:E30)</f>
        <v>30361.31</v>
      </c>
      <c r="F31" s="217"/>
    </row>
    <row r="32" spans="1:15" x14ac:dyDescent="0.25">
      <c r="A32" s="88" t="s">
        <v>277</v>
      </c>
      <c r="B32" s="133">
        <f>'1 Společné úpravy - Hodnota'!B10+'5 Leasing - příprava'!C26*B5</f>
        <v>5215.3378160000011</v>
      </c>
      <c r="C32" s="133">
        <f>'1 Společné úpravy - Hodnota'!C10+'5 Leasing - příprava'!D26*C5</f>
        <v>4893.2913028800003</v>
      </c>
      <c r="D32" s="133">
        <f>'1 Společné úpravy - Hodnota'!D10+'5 Leasing - příprava'!E26*D5</f>
        <v>5600.6365373983999</v>
      </c>
      <c r="E32" s="133">
        <f>'1 Společné úpravy - Hodnota'!E10+'5 Leasing - příprava'!F26*E5</f>
        <v>5600.63</v>
      </c>
      <c r="F32" s="108"/>
    </row>
    <row r="33" spans="1:11" x14ac:dyDescent="0.25">
      <c r="A33" s="303" t="s">
        <v>155</v>
      </c>
      <c r="B33" s="304">
        <f>B31-B32</f>
        <v>24542.762184000007</v>
      </c>
      <c r="C33" s="305">
        <f>C31-C32</f>
        <v>21346.208697120001</v>
      </c>
      <c r="D33" s="305">
        <f>D31-D32</f>
        <v>21479.863462601599</v>
      </c>
      <c r="E33" s="305">
        <f>E31-E32</f>
        <v>24760.68</v>
      </c>
      <c r="F33" s="217"/>
    </row>
    <row r="34" spans="1:11" x14ac:dyDescent="0.25">
      <c r="B34" s="108"/>
      <c r="C34" s="108"/>
      <c r="D34" s="108"/>
      <c r="E34" s="108"/>
      <c r="F34" s="108"/>
    </row>
    <row r="35" spans="1:11" x14ac:dyDescent="0.25">
      <c r="A35" s="3" t="s">
        <v>256</v>
      </c>
      <c r="G35" s="3" t="s">
        <v>194</v>
      </c>
      <c r="H35"/>
      <c r="I35"/>
      <c r="J35"/>
      <c r="K35"/>
    </row>
    <row r="36" spans="1:11" x14ac:dyDescent="0.25">
      <c r="G36"/>
      <c r="H36"/>
      <c r="I36"/>
      <c r="J36"/>
      <c r="K36"/>
    </row>
    <row r="37" spans="1:11" x14ac:dyDescent="0.25">
      <c r="A37" s="2" t="s">
        <v>176</v>
      </c>
      <c r="C37" s="108"/>
      <c r="G37" s="2" t="s">
        <v>195</v>
      </c>
      <c r="H37"/>
      <c r="I37" s="108"/>
      <c r="J37"/>
      <c r="K37"/>
    </row>
    <row r="38" spans="1:11" ht="31.5" x14ac:dyDescent="0.25">
      <c r="A38" s="301"/>
      <c r="B38" s="302">
        <f>B8</f>
        <v>2023</v>
      </c>
      <c r="C38" s="302">
        <f>C8</f>
        <v>2024</v>
      </c>
      <c r="D38" s="302">
        <f>D8</f>
        <v>2025</v>
      </c>
      <c r="E38" s="300" t="str">
        <f>E8</f>
        <v>2026 2.fáze</v>
      </c>
      <c r="F38" s="485"/>
      <c r="G38" s="301"/>
      <c r="H38" s="302">
        <f>B38</f>
        <v>2023</v>
      </c>
      <c r="I38" s="302">
        <f>C38</f>
        <v>2024</v>
      </c>
      <c r="J38" s="302">
        <f>D38</f>
        <v>2025</v>
      </c>
      <c r="K38" s="300" t="str">
        <f>E38</f>
        <v>2026 2.fáze</v>
      </c>
    </row>
    <row r="39" spans="1:11" x14ac:dyDescent="0.25">
      <c r="A39" s="169" t="s">
        <v>177</v>
      </c>
      <c r="B39" s="41">
        <f>B21</f>
        <v>20411.973100000007</v>
      </c>
      <c r="C39" s="41">
        <f>C21</f>
        <v>17384.661748000002</v>
      </c>
      <c r="D39" s="41">
        <f>D21</f>
        <v>19770.897592639998</v>
      </c>
      <c r="E39" s="41">
        <f>E21</f>
        <v>23051.741999999998</v>
      </c>
      <c r="F39" s="486"/>
      <c r="G39" s="169" t="s">
        <v>109</v>
      </c>
      <c r="H39" s="41">
        <f>B18</f>
        <v>24642.762184000007</v>
      </c>
      <c r="I39" s="41">
        <f>C18</f>
        <v>20846.208697120001</v>
      </c>
      <c r="J39" s="41">
        <f>D18</f>
        <v>21479.863462601599</v>
      </c>
      <c r="K39" s="41">
        <f>E18</f>
        <v>24760.68</v>
      </c>
    </row>
    <row r="40" spans="1:11" ht="18.75" x14ac:dyDescent="0.35">
      <c r="A40" s="74" t="s">
        <v>252</v>
      </c>
      <c r="B40" s="175">
        <f ca="1">'7 Růst - WACC '!B25</f>
        <v>0.13783911196030968</v>
      </c>
      <c r="C40" s="175">
        <f ca="1">'7 Růst - WACC '!C25</f>
        <v>0.13951486452925654</v>
      </c>
      <c r="D40" s="175">
        <f ca="1">'7 Růst - WACC '!D25</f>
        <v>0.13957204831043776</v>
      </c>
      <c r="E40" s="175">
        <f ca="1">'7 Růst - WACC '!E25</f>
        <v>0.13897903720879931</v>
      </c>
      <c r="F40" s="487"/>
      <c r="G40" s="74" t="s">
        <v>280</v>
      </c>
      <c r="H40" s="175">
        <f>'7 Růst - WACC '!$B$4</f>
        <v>0.13</v>
      </c>
      <c r="I40" s="175">
        <f>'7 Růst - WACC '!$B$4</f>
        <v>0.13</v>
      </c>
      <c r="J40" s="175">
        <f>'7 Růst - WACC '!$B$4</f>
        <v>0.13</v>
      </c>
      <c r="K40" s="175">
        <f>'7 Růst - WACC '!$B$4</f>
        <v>0.13</v>
      </c>
    </row>
    <row r="41" spans="1:11" x14ac:dyDescent="0.25">
      <c r="A41" s="74" t="s">
        <v>257</v>
      </c>
      <c r="B41" s="124">
        <f>'5 Leasing - NOA'!G25-'5 Leasing - NOA'!G11-'5 Leasing - NOA'!G12</f>
        <v>38202.62000000001</v>
      </c>
      <c r="C41" s="124">
        <f>'5 Leasing - NOA'!H25-'5 Leasing - NOA'!H11-'5 Leasing - NOA'!H12</f>
        <v>43809.773599999986</v>
      </c>
      <c r="D41" s="124">
        <f>'5 Leasing - NOA'!I25-'5 Leasing - NOA'!I11-'5 Leasing - NOA'!I12</f>
        <v>48798.708847999995</v>
      </c>
      <c r="E41" s="124">
        <f>'5 Leasing - NOA'!J25-'5 Leasing - NOA'!J11-'5 Leasing - NOA'!J12</f>
        <v>48756.174440640025</v>
      </c>
      <c r="F41" s="486"/>
      <c r="G41" s="74" t="s">
        <v>153</v>
      </c>
      <c r="H41" s="124">
        <f>'5 Leasing - NOA'!G25</f>
        <v>94223.1</v>
      </c>
      <c r="I41" s="124">
        <f>'5 Leasing - NOA'!H25</f>
        <v>97828.799999999988</v>
      </c>
      <c r="J41" s="124">
        <f>'5 Leasing - NOA'!I25</f>
        <v>92594.9</v>
      </c>
      <c r="K41" s="124">
        <f>'5 Leasing - NOA'!J25</f>
        <v>92552.400000000023</v>
      </c>
    </row>
    <row r="42" spans="1:11" ht="18.75" x14ac:dyDescent="0.35">
      <c r="A42" s="107" t="s">
        <v>282</v>
      </c>
      <c r="B42" s="133">
        <f ca="1">B40*B41</f>
        <v>5265.8152153571673</v>
      </c>
      <c r="C42" s="133">
        <f ca="1">C40*C41</f>
        <v>6112.1146288613982</v>
      </c>
      <c r="D42" s="133">
        <f ca="1">D40*D41</f>
        <v>6810.9357488200421</v>
      </c>
      <c r="E42" s="133">
        <f ca="1">E40*E41</f>
        <v>6776.0861817444202</v>
      </c>
      <c r="F42" s="486"/>
      <c r="G42" s="107" t="s">
        <v>281</v>
      </c>
      <c r="H42" s="133">
        <f>H40*H41</f>
        <v>12249.003000000001</v>
      </c>
      <c r="I42" s="133">
        <f>I40*I41</f>
        <v>12717.743999999999</v>
      </c>
      <c r="J42" s="133">
        <f>J40*J41</f>
        <v>12037.337</v>
      </c>
      <c r="K42" s="133">
        <f>K40*K41</f>
        <v>12031.812000000004</v>
      </c>
    </row>
    <row r="43" spans="1:11" x14ac:dyDescent="0.25">
      <c r="A43" s="303" t="s">
        <v>251</v>
      </c>
      <c r="B43" s="304">
        <f ca="1">B39-B42</f>
        <v>15146.157884642838</v>
      </c>
      <c r="C43" s="304">
        <f ca="1">C39-C42</f>
        <v>11272.547119138604</v>
      </c>
      <c r="D43" s="304">
        <f ca="1">D39-D42</f>
        <v>12959.961843819956</v>
      </c>
      <c r="E43" s="304">
        <f ca="1">E39-E42</f>
        <v>16275.655818255578</v>
      </c>
      <c r="F43" s="399"/>
      <c r="G43" s="303" t="s">
        <v>283</v>
      </c>
      <c r="H43" s="304">
        <f>H39-H42</f>
        <v>12393.759184000006</v>
      </c>
      <c r="I43" s="304">
        <f>I39-I42</f>
        <v>8128.4646971200018</v>
      </c>
      <c r="J43" s="304">
        <f>J39-J42</f>
        <v>9442.5264626015996</v>
      </c>
      <c r="K43" s="304">
        <f>K39-K42</f>
        <v>12728.867999999997</v>
      </c>
    </row>
    <row r="44" spans="1:11" x14ac:dyDescent="0.25">
      <c r="B44" s="108"/>
      <c r="C44" s="108"/>
      <c r="D44" s="108"/>
      <c r="E44" s="108"/>
      <c r="F44" s="108"/>
    </row>
    <row r="45" spans="1:11" x14ac:dyDescent="0.25">
      <c r="A45" s="2" t="s">
        <v>278</v>
      </c>
      <c r="G45" s="2" t="s">
        <v>279</v>
      </c>
    </row>
    <row r="46" spans="1:11" ht="31.5" x14ac:dyDescent="0.25">
      <c r="A46" s="301"/>
      <c r="B46" s="302">
        <f>rok+1</f>
        <v>2023</v>
      </c>
      <c r="C46" s="302">
        <f>B46+1</f>
        <v>2024</v>
      </c>
      <c r="D46" s="302">
        <f>C46+1</f>
        <v>2025</v>
      </c>
      <c r="E46" s="300" t="str">
        <f>FIXED(D46+1,0,1)&amp;" 2.fáze"</f>
        <v>2026 2.fáze</v>
      </c>
      <c r="G46" s="301"/>
      <c r="H46" s="302">
        <f>rok+1</f>
        <v>2023</v>
      </c>
      <c r="I46" s="302">
        <f>H46+1</f>
        <v>2024</v>
      </c>
      <c r="J46" s="302">
        <f>I46+1</f>
        <v>2025</v>
      </c>
      <c r="K46" s="300" t="str">
        <f>FIXED(J46+1,0,1)&amp;" 2.fáze"</f>
        <v>2026 2.fáze</v>
      </c>
    </row>
    <row r="47" spans="1:11" x14ac:dyDescent="0.25">
      <c r="A47" s="87" t="s">
        <v>284</v>
      </c>
      <c r="B47" s="166">
        <f ca="1">B43</f>
        <v>15146.157884642838</v>
      </c>
      <c r="C47" s="166">
        <f t="shared" ref="C47:E47" ca="1" si="0">C43</f>
        <v>11272.547119138604</v>
      </c>
      <c r="D47" s="166">
        <f t="shared" ca="1" si="0"/>
        <v>12959.961843819956</v>
      </c>
      <c r="E47" s="166">
        <f t="shared" ca="1" si="0"/>
        <v>16275.655818255578</v>
      </c>
      <c r="G47" s="119" t="s">
        <v>196</v>
      </c>
      <c r="H47" s="166">
        <f>H43</f>
        <v>12393.759184000006</v>
      </c>
      <c r="I47" s="166">
        <f>I43</f>
        <v>8128.4646971200018</v>
      </c>
      <c r="J47" s="166">
        <f>J43</f>
        <v>9442.5264626015996</v>
      </c>
      <c r="K47" s="166">
        <f>K43</f>
        <v>12728.867999999997</v>
      </c>
    </row>
    <row r="48" spans="1:11" ht="18.75" x14ac:dyDescent="0.35">
      <c r="A48" s="107" t="s">
        <v>252</v>
      </c>
      <c r="B48" s="493">
        <f ca="1">B40</f>
        <v>0.13783911196030968</v>
      </c>
      <c r="C48" s="493">
        <f ca="1">C40</f>
        <v>0.13951486452925654</v>
      </c>
      <c r="D48" s="493">
        <f ca="1">D40</f>
        <v>0.13957204831043776</v>
      </c>
      <c r="E48" s="493">
        <f ca="1">E40</f>
        <v>0.13897903720879931</v>
      </c>
      <c r="G48" s="107" t="s">
        <v>280</v>
      </c>
      <c r="H48" s="493">
        <f>'5 Leasing - WACC'!$B$4</f>
        <v>0.13</v>
      </c>
      <c r="I48" s="493">
        <f>'5 Leasing - WACC'!$B$4</f>
        <v>0.13</v>
      </c>
      <c r="J48" s="493">
        <f>'5 Leasing - WACC'!$B$4</f>
        <v>0.13</v>
      </c>
      <c r="K48" s="493">
        <f>'5 Leasing - WACC'!$B$4</f>
        <v>0.13</v>
      </c>
    </row>
    <row r="49" spans="1:11" x14ac:dyDescent="0.25">
      <c r="A49" s="512" t="s">
        <v>285</v>
      </c>
      <c r="B49" s="478">
        <f ca="1">(C49+B47)/(1+B48)</f>
        <v>131853.73553887595</v>
      </c>
      <c r="C49" s="404">
        <f ca="1">(D49+C47)/(1+C48)</f>
        <v>134882.17946956129</v>
      </c>
      <c r="D49" s="404">
        <f ca="1">(E49+D47)/(1+D48)</f>
        <v>142427.70134652939</v>
      </c>
      <c r="E49" s="516">
        <f ca="1">E47/(E48-B3)</f>
        <v>149346.6655157918</v>
      </c>
      <c r="G49" s="512" t="s">
        <v>286</v>
      </c>
      <c r="H49" s="478">
        <f>(H47+I49)/(1+H48)</f>
        <v>112095.29347721756</v>
      </c>
      <c r="I49" s="404">
        <f>(I47+J49)/(1+I48)</f>
        <v>114273.92244525583</v>
      </c>
      <c r="J49" s="404">
        <f>(J47+K49)/(1+J48)</f>
        <v>121001.06766601908</v>
      </c>
      <c r="K49" s="516">
        <f>K47/(K48-B3)</f>
        <v>127288.67999999996</v>
      </c>
    </row>
    <row r="50" spans="1:11" x14ac:dyDescent="0.25">
      <c r="A50" s="466" t="s">
        <v>258</v>
      </c>
      <c r="B50" s="513">
        <f>B41</f>
        <v>38202.62000000001</v>
      </c>
      <c r="C50" s="81">
        <f t="shared" ref="C50:E50" si="1">C41</f>
        <v>43809.773599999986</v>
      </c>
      <c r="D50" s="81">
        <f t="shared" si="1"/>
        <v>48798.708847999995</v>
      </c>
      <c r="E50" s="81">
        <f t="shared" si="1"/>
        <v>48756.174440640025</v>
      </c>
      <c r="G50" s="514" t="s">
        <v>157</v>
      </c>
      <c r="H50" s="467">
        <f>H41</f>
        <v>94223.1</v>
      </c>
      <c r="I50" s="133">
        <f>I41</f>
        <v>97828.799999999988</v>
      </c>
      <c r="J50" s="133">
        <f>J41</f>
        <v>92594.9</v>
      </c>
      <c r="K50" s="133">
        <f>K41</f>
        <v>92552.400000000023</v>
      </c>
    </row>
    <row r="51" spans="1:11" x14ac:dyDescent="0.25">
      <c r="A51" s="392" t="s">
        <v>184</v>
      </c>
      <c r="B51" s="393">
        <f ca="1">B49+B50</f>
        <v>170056.35553887597</v>
      </c>
      <c r="C51" s="393">
        <f ca="1">C49+C50</f>
        <v>178691.95306956128</v>
      </c>
      <c r="D51" s="393">
        <f ca="1">D49+D50</f>
        <v>191226.4101945294</v>
      </c>
      <c r="E51" s="393">
        <f ca="1">E49+E50</f>
        <v>198102.83995643182</v>
      </c>
      <c r="G51" s="494" t="s">
        <v>260</v>
      </c>
      <c r="H51" s="226">
        <f>H49+H50</f>
        <v>206318.39347721759</v>
      </c>
      <c r="I51" s="226">
        <f>I49+I50</f>
        <v>212102.72244525581</v>
      </c>
      <c r="J51" s="226">
        <f>J49+J50</f>
        <v>213595.96766601907</v>
      </c>
      <c r="K51" s="226">
        <f>K49+K50</f>
        <v>219841.08</v>
      </c>
    </row>
    <row r="52" spans="1:11" x14ac:dyDescent="0.25">
      <c r="A52" s="77" t="s">
        <v>98</v>
      </c>
      <c r="B52" s="124">
        <f>'5 Leasing - NOA'!G21</f>
        <v>33629.003499999999</v>
      </c>
      <c r="E52" s="227"/>
      <c r="G52" s="78" t="s">
        <v>261</v>
      </c>
      <c r="H52" s="133">
        <f>'7 Růst - WACC '!B22</f>
        <v>19758.460923918472</v>
      </c>
      <c r="I52" s="133">
        <f>'7 Růst - WACC '!C22</f>
        <v>20608.278486522719</v>
      </c>
      <c r="J52" s="133">
        <f>'7 Růst - WACC '!D22</f>
        <v>21426.658137025901</v>
      </c>
      <c r="K52" s="133">
        <f>'7 Růst - WACC '!E22</f>
        <v>22057.985515791843</v>
      </c>
    </row>
    <row r="53" spans="1:11" x14ac:dyDescent="0.25">
      <c r="A53" s="306" t="s">
        <v>199</v>
      </c>
      <c r="B53" s="396">
        <f ca="1">B51+B52</f>
        <v>203685.35903887596</v>
      </c>
      <c r="F53" s="108"/>
      <c r="G53" s="103" t="s">
        <v>185</v>
      </c>
      <c r="H53" s="226">
        <f>H51+H52</f>
        <v>226076.85440113605</v>
      </c>
      <c r="I53" s="226">
        <f>I51+I52</f>
        <v>232711.00093177854</v>
      </c>
      <c r="J53" s="226">
        <f>J51+J52</f>
        <v>235022.62580304497</v>
      </c>
      <c r="K53" s="226">
        <f>K51+K52</f>
        <v>241899.06551579182</v>
      </c>
    </row>
    <row r="54" spans="1:11" x14ac:dyDescent="0.25">
      <c r="B54" s="108"/>
      <c r="F54" s="490"/>
      <c r="G54" s="78" t="s">
        <v>183</v>
      </c>
      <c r="H54" s="133">
        <f>'7 Růst - WACC '!B11</f>
        <v>56020.479999999996</v>
      </c>
      <c r="I54" s="133">
        <f>'7 Růst - WACC '!C11</f>
        <v>54019.026400000002</v>
      </c>
      <c r="J54" s="133">
        <f>'7 Růst - WACC '!D11</f>
        <v>43796.191151999999</v>
      </c>
      <c r="K54" s="133">
        <f>'7 Růst - WACC '!E11</f>
        <v>43796.225559359998</v>
      </c>
    </row>
    <row r="55" spans="1:11" x14ac:dyDescent="0.25">
      <c r="B55" s="108"/>
      <c r="F55" s="79"/>
      <c r="G55" s="392" t="s">
        <v>184</v>
      </c>
      <c r="H55" s="393">
        <f>H53-H54</f>
        <v>170056.37440113607</v>
      </c>
      <c r="I55" s="393">
        <f>I53-I54</f>
        <v>178691.97453177854</v>
      </c>
      <c r="J55" s="393">
        <f>J53-J54</f>
        <v>191226.43465104495</v>
      </c>
      <c r="K55" s="393">
        <f>K53-K54</f>
        <v>198102.83995643182</v>
      </c>
    </row>
    <row r="56" spans="1:11" x14ac:dyDescent="0.25">
      <c r="A56" s="10"/>
      <c r="B56" s="515"/>
      <c r="C56" s="108"/>
      <c r="F56" s="79"/>
      <c r="G56" s="77" t="s">
        <v>98</v>
      </c>
      <c r="H56" s="124">
        <f>'5 Leasing - NOA'!G21</f>
        <v>33629.003499999999</v>
      </c>
    </row>
    <row r="57" spans="1:11" x14ac:dyDescent="0.25">
      <c r="B57" s="108"/>
      <c r="C57" s="108"/>
      <c r="F57" s="79"/>
      <c r="G57" s="306" t="s">
        <v>199</v>
      </c>
      <c r="H57" s="396">
        <f>H55+H56</f>
        <v>203685.37790113606</v>
      </c>
    </row>
    <row r="58" spans="1:11" x14ac:dyDescent="0.25">
      <c r="A58" s="1"/>
      <c r="B58" s="217"/>
      <c r="C58" s="217"/>
      <c r="F58" s="217"/>
    </row>
    <row r="59" spans="1:11" x14ac:dyDescent="0.25">
      <c r="A59" s="3" t="s">
        <v>255</v>
      </c>
      <c r="G59" s="3" t="s">
        <v>259</v>
      </c>
      <c r="H59" s="213"/>
    </row>
    <row r="60" spans="1:11" x14ac:dyDescent="0.25">
      <c r="A60" s="2"/>
      <c r="B60" s="108"/>
      <c r="C60" s="108"/>
      <c r="D60" s="108"/>
      <c r="E60" s="108"/>
      <c r="F60" s="108"/>
    </row>
    <row r="61" spans="1:11" ht="31.5" x14ac:dyDescent="0.25">
      <c r="A61" s="301"/>
      <c r="B61" s="302">
        <f>rok+1</f>
        <v>2023</v>
      </c>
      <c r="C61" s="302">
        <f>B61+1</f>
        <v>2024</v>
      </c>
      <c r="D61" s="302">
        <f>C61+1</f>
        <v>2025</v>
      </c>
      <c r="E61" s="300" t="str">
        <f>FIXED(D61+1,0,1)&amp;" 2.fáze"</f>
        <v>2026 2.fáze</v>
      </c>
      <c r="G61" s="301"/>
      <c r="H61" s="302">
        <f>rok+1</f>
        <v>2023</v>
      </c>
      <c r="I61" s="302">
        <f>H61+1</f>
        <v>2024</v>
      </c>
      <c r="J61" s="302">
        <f>I61+1</f>
        <v>2025</v>
      </c>
      <c r="K61" s="300" t="str">
        <f>FIXED(J61+1,0,1)&amp;" 2.fáze"</f>
        <v>2026 2.fáze</v>
      </c>
    </row>
    <row r="62" spans="1:11" x14ac:dyDescent="0.25">
      <c r="A62" s="87" t="s">
        <v>141</v>
      </c>
      <c r="B62" s="136">
        <f>B33</f>
        <v>24542.762184000007</v>
      </c>
      <c r="C62" s="136">
        <f>C33</f>
        <v>21346.208697120001</v>
      </c>
      <c r="D62" s="136">
        <f>D33</f>
        <v>21479.863462601599</v>
      </c>
      <c r="E62" s="136">
        <f>E33</f>
        <v>24760.68</v>
      </c>
      <c r="G62" s="495" t="s">
        <v>111</v>
      </c>
      <c r="H62" s="496">
        <f>B65</f>
        <v>21037.062184000024</v>
      </c>
      <c r="I62" s="496">
        <f t="shared" ref="I62:K62" si="2">C65</f>
        <v>26080.108697119995</v>
      </c>
      <c r="J62" s="496">
        <f t="shared" si="2"/>
        <v>21522.36346260157</v>
      </c>
      <c r="K62" s="496">
        <f t="shared" si="2"/>
        <v>21984.108</v>
      </c>
    </row>
    <row r="63" spans="1:11" ht="18.75" x14ac:dyDescent="0.35">
      <c r="A63" s="77" t="s">
        <v>142</v>
      </c>
      <c r="B63" s="79">
        <f>'5 Leasing - NOA'!H7-'5 Leasing - NOA'!G7</f>
        <v>100</v>
      </c>
      <c r="C63" s="79">
        <f>'5 Leasing - NOA'!I7-'5 Leasing - NOA'!H7</f>
        <v>-500</v>
      </c>
      <c r="D63" s="79">
        <f>'5 Leasing - NOA'!J7-'5 Leasing - NOA'!I7</f>
        <v>0</v>
      </c>
      <c r="E63" s="79">
        <v>0</v>
      </c>
      <c r="G63" s="107" t="s">
        <v>280</v>
      </c>
      <c r="H63" s="493">
        <f>'5 Leasing - WACC'!$B$4</f>
        <v>0.13</v>
      </c>
      <c r="I63" s="493">
        <f>'5 Leasing - WACC'!$B$4</f>
        <v>0.13</v>
      </c>
      <c r="J63" s="493">
        <f>'5 Leasing - WACC'!$B$4</f>
        <v>0.13</v>
      </c>
      <c r="K63" s="493">
        <f>'5 Leasing - WACC'!$B$4</f>
        <v>0.13</v>
      </c>
    </row>
    <row r="64" spans="1:11" x14ac:dyDescent="0.25">
      <c r="A64" s="78" t="s">
        <v>110</v>
      </c>
      <c r="B64" s="81">
        <f>-('5 Leasing - NOA'!H25-'5 Leasing - NOA'!G25)</f>
        <v>-3605.6999999999825</v>
      </c>
      <c r="C64" s="81">
        <f>-('5 Leasing - NOA'!I25-'5 Leasing - NOA'!H25)</f>
        <v>5233.8999999999942</v>
      </c>
      <c r="D64" s="81">
        <f>-('5 Leasing - NOA'!J25-'5 Leasing - NOA'!I25)</f>
        <v>42.499999999970896</v>
      </c>
      <c r="E64" s="335">
        <f>-('5 Leasing - NOA'!J25*B3)</f>
        <v>-2776.5720000000006</v>
      </c>
      <c r="G64" s="397" t="s">
        <v>260</v>
      </c>
      <c r="H64" s="390">
        <f t="shared" ref="H64:I64" si="3">(H62+I64)/(1+H63)</f>
        <v>206318.39347721761</v>
      </c>
      <c r="I64" s="390">
        <f t="shared" si="3"/>
        <v>212102.72244525584</v>
      </c>
      <c r="J64" s="390">
        <f>(J62+K64)/(1+J63)</f>
        <v>213595.9676660191</v>
      </c>
      <c r="K64" s="518">
        <f>K62/(K63-B3)</f>
        <v>219841.08</v>
      </c>
    </row>
    <row r="65" spans="1:15" x14ac:dyDescent="0.25">
      <c r="A65" s="103" t="s">
        <v>111</v>
      </c>
      <c r="B65" s="82">
        <f>SUM(B62:B64)</f>
        <v>21037.062184000024</v>
      </c>
      <c r="C65" s="82">
        <f>SUM(C62:C64)</f>
        <v>26080.108697119995</v>
      </c>
      <c r="D65" s="82">
        <f>SUM(D62:D64)</f>
        <v>21522.36346260157</v>
      </c>
      <c r="E65" s="82">
        <f>SUM(E62:E64)</f>
        <v>21984.108</v>
      </c>
      <c r="G65" s="78" t="s">
        <v>261</v>
      </c>
      <c r="H65" s="79">
        <f>'7 Růst - WACC '!B22</f>
        <v>19758.460923918472</v>
      </c>
      <c r="I65" s="79">
        <f>'7 Růst - WACC '!C22</f>
        <v>20608.278486522719</v>
      </c>
      <c r="J65" s="79">
        <f>'7 Růst - WACC '!D22</f>
        <v>21426.658137025901</v>
      </c>
      <c r="K65" s="79">
        <f>'7 Růst - WACC '!E22</f>
        <v>22057.985515791843</v>
      </c>
      <c r="O65" s="206"/>
    </row>
    <row r="66" spans="1:15" x14ac:dyDescent="0.25">
      <c r="A66" s="495" t="s">
        <v>189</v>
      </c>
      <c r="B66" s="496">
        <f>-B19-B20</f>
        <v>-4230.789084</v>
      </c>
      <c r="C66" s="496">
        <f>-C19-C20</f>
        <v>-3461.5469491200001</v>
      </c>
      <c r="D66" s="496">
        <f>-D19-D20</f>
        <v>-1708.9658699616002</v>
      </c>
      <c r="E66" s="496">
        <f>-E19-E20</f>
        <v>-1708.9380000000003</v>
      </c>
      <c r="G66" s="103" t="s">
        <v>185</v>
      </c>
      <c r="H66" s="390">
        <f>H64+H65</f>
        <v>226076.85440113608</v>
      </c>
      <c r="I66" s="390">
        <f>I64+I65</f>
        <v>232711.00093177857</v>
      </c>
      <c r="J66" s="390">
        <f>J64+J65</f>
        <v>235022.625803045</v>
      </c>
      <c r="K66" s="390">
        <f>K64+K65</f>
        <v>241899.06551579182</v>
      </c>
      <c r="N66" s="207"/>
      <c r="O66" s="207"/>
    </row>
    <row r="67" spans="1:15" x14ac:dyDescent="0.25">
      <c r="A67" s="78" t="s">
        <v>287</v>
      </c>
      <c r="B67" s="398">
        <f>('5 Leasing - NOA'!H11+'5 Leasing - NOA'!H12)-('5 Leasing - NOA'!G11+'5 Leasing - NOA'!G12)</f>
        <v>-2001.4535999999935</v>
      </c>
      <c r="C67" s="398">
        <f>('5 Leasing - NOA'!I11+'5 Leasing - NOA'!I12)-('5 Leasing - NOA'!H11+'5 Leasing - NOA'!H12)</f>
        <v>-10222.835248000003</v>
      </c>
      <c r="D67" s="398">
        <f>('5 Leasing - NOA'!J11+'5 Leasing - NOA'!J12)-('5 Leasing - NOA'!I11+'5 Leasing - NOA'!I12)</f>
        <v>3.4407359999022447E-2</v>
      </c>
      <c r="E67" s="517">
        <f>'7 Růst - WACC '!E11*B3</f>
        <v>1313.8867667807999</v>
      </c>
      <c r="G67" s="78" t="s">
        <v>183</v>
      </c>
      <c r="H67" s="79">
        <f>'7 Růst - WACC '!B11</f>
        <v>56020.479999999996</v>
      </c>
      <c r="I67" s="79">
        <f>'7 Růst - WACC '!C11</f>
        <v>54019.026400000002</v>
      </c>
      <c r="J67" s="79">
        <f>'7 Růst - WACC '!D11</f>
        <v>43796.191151999999</v>
      </c>
      <c r="K67" s="79">
        <f>'7 Růst - WACC '!E11</f>
        <v>43796.225559359998</v>
      </c>
    </row>
    <row r="68" spans="1:15" x14ac:dyDescent="0.25">
      <c r="A68" s="497" t="s">
        <v>178</v>
      </c>
      <c r="B68" s="309">
        <f>SUM(B65:B67)</f>
        <v>14804.819500000031</v>
      </c>
      <c r="C68" s="309">
        <f>SUM(C65:C67)</f>
        <v>12395.72649999999</v>
      </c>
      <c r="D68" s="309">
        <f>SUM(D65:D67)</f>
        <v>19813.431999999968</v>
      </c>
      <c r="E68" s="309">
        <f>SUM(E65:E67)</f>
        <v>21589.056766780799</v>
      </c>
      <c r="G68" s="392" t="s">
        <v>184</v>
      </c>
      <c r="H68" s="393">
        <f>H66-H67</f>
        <v>170056.37440113607</v>
      </c>
      <c r="I68" s="393">
        <f>I66-I67</f>
        <v>178691.97453177857</v>
      </c>
      <c r="J68" s="393">
        <f>J66-J67</f>
        <v>191226.43465104501</v>
      </c>
      <c r="K68" s="393">
        <f>K66-K67</f>
        <v>198102.83995643182</v>
      </c>
      <c r="L68" s="208"/>
    </row>
    <row r="69" spans="1:15" ht="18.75" x14ac:dyDescent="0.35">
      <c r="A69" s="78" t="s">
        <v>252</v>
      </c>
      <c r="B69" s="170">
        <f ca="1">'7 Růst - WACC '!B25</f>
        <v>0.13783911196030968</v>
      </c>
      <c r="C69" s="170">
        <f ca="1">'7 Růst - WACC '!C25</f>
        <v>0.13951486452925654</v>
      </c>
      <c r="D69" s="170">
        <f ca="1">'7 Růst - WACC '!D25</f>
        <v>0.13957204831043776</v>
      </c>
      <c r="E69" s="170">
        <f ca="1">'7 Růst - WACC '!E25</f>
        <v>0.13897903720879931</v>
      </c>
      <c r="G69" s="77" t="s">
        <v>98</v>
      </c>
      <c r="H69" s="124">
        <f>'5 Leasing - NOA'!G21</f>
        <v>33629.003499999999</v>
      </c>
    </row>
    <row r="70" spans="1:15" x14ac:dyDescent="0.25">
      <c r="A70" s="392" t="s">
        <v>184</v>
      </c>
      <c r="B70" s="393">
        <f ca="1">(B68+C70)/(1+B69)</f>
        <v>170056.35553887594</v>
      </c>
      <c r="C70" s="393">
        <f ca="1">(C68+D70)/(1+C69)</f>
        <v>178691.95306956125</v>
      </c>
      <c r="D70" s="393">
        <f ca="1">(D68+E70)/(1+D69)</f>
        <v>191226.41019452937</v>
      </c>
      <c r="E70" s="393">
        <f ca="1">E68/(E69-B3)</f>
        <v>198102.83995643182</v>
      </c>
      <c r="G70" s="306" t="s">
        <v>199</v>
      </c>
      <c r="H70" s="396">
        <f>H68+H69</f>
        <v>203685.37790113606</v>
      </c>
    </row>
    <row r="71" spans="1:15" x14ac:dyDescent="0.25">
      <c r="A71" s="77" t="s">
        <v>98</v>
      </c>
      <c r="B71" s="124">
        <f>'5 Leasing - NOA'!G21</f>
        <v>33629.003499999999</v>
      </c>
      <c r="G71" s="229"/>
      <c r="H71" s="209"/>
    </row>
    <row r="72" spans="1:15" x14ac:dyDescent="0.25">
      <c r="A72" s="306" t="s">
        <v>199</v>
      </c>
      <c r="B72" s="396">
        <f ca="1">B70+B71</f>
        <v>203685.35903887593</v>
      </c>
      <c r="C72" s="108"/>
    </row>
  </sheetData>
  <phoneticPr fontId="0" type="noConversion"/>
  <hyperlinks>
    <hyperlink ref="E1" location="Obsah!A1" display="Skok na obsah" xr:uid="{00000000-0004-0000-2000-000000000000}"/>
  </hyperlinks>
  <printOptions gridLinesSet="0"/>
  <pageMargins left="0.78740157480314965" right="0.78740157480314965" top="0.98425196850393704" bottom="0.78740157480314965" header="0.51181102362204722" footer="0.51181102362204722"/>
  <pageSetup paperSize="9" scale="56" orientation="portrait" r:id="rId1"/>
  <headerFooter alignWithMargins="0">
    <oddHeader>&amp;L&amp;"Arial CE,Obyčejné"&amp;10Mařík, M. a kol.: Metody oceňování podniku pro pokročilé
Ekopress 2023&amp;R&amp;"Arial CE,Obyčejné"&amp;10Příklad: Vzájemná shoda metod DCF a EVA</oddHeader>
    <oddFooter>&amp;C&amp;"Arial CE,Obyčejné"&amp;10&amp;A - str. &amp;P&amp;R&amp;"Arial CE,Obyčejné"&amp;10©  Miloš Mařík, Pavla Maříková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E23"/>
  <sheetViews>
    <sheetView showGridLines="0" workbookViewId="0"/>
  </sheetViews>
  <sheetFormatPr defaultRowHeight="15.75" x14ac:dyDescent="0.25"/>
  <cols>
    <col min="1" max="1" width="35.625" customWidth="1"/>
  </cols>
  <sheetData>
    <row r="1" spans="1:5" ht="18.75" x14ac:dyDescent="0.3">
      <c r="A1" s="554" t="s">
        <v>397</v>
      </c>
      <c r="E1" s="555" t="s">
        <v>290</v>
      </c>
    </row>
    <row r="2" spans="1:5" ht="20.25" customHeight="1" thickBot="1" x14ac:dyDescent="0.3">
      <c r="A2" s="10" t="s">
        <v>137</v>
      </c>
      <c r="B2" s="4"/>
      <c r="C2" s="4"/>
      <c r="D2" s="4"/>
    </row>
    <row r="3" spans="1:5" ht="16.5" thickBot="1" x14ac:dyDescent="0.3">
      <c r="A3" s="237" t="s">
        <v>11</v>
      </c>
      <c r="B3" s="238">
        <f>'1 Aktiva'!B3</f>
        <v>2022</v>
      </c>
      <c r="C3" s="239">
        <f>'1 Aktiva'!C3</f>
        <v>2023</v>
      </c>
      <c r="D3" s="240">
        <f>'1 Aktiva'!D3</f>
        <v>2024</v>
      </c>
      <c r="E3" s="241">
        <f>'1 Aktiva'!E3</f>
        <v>2025</v>
      </c>
    </row>
    <row r="4" spans="1:5" ht="16.5" thickBot="1" x14ac:dyDescent="0.3">
      <c r="A4" s="15" t="s">
        <v>12</v>
      </c>
      <c r="B4" s="96">
        <f>(B11+B5)</f>
        <v>130634.6035</v>
      </c>
      <c r="C4" s="29">
        <f>(C11+C5)</f>
        <v>156392.62299999999</v>
      </c>
      <c r="D4" s="29">
        <f>(D11+D5)</f>
        <v>175289.94949999999</v>
      </c>
      <c r="E4" s="30">
        <f>(E11+E5)</f>
        <v>195644.38150000002</v>
      </c>
    </row>
    <row r="5" spans="1:5" x14ac:dyDescent="0.25">
      <c r="A5" s="13" t="s">
        <v>13</v>
      </c>
      <c r="B5" s="90">
        <f>SUM(B6:B10)</f>
        <v>64329.603499999997</v>
      </c>
      <c r="C5" s="17">
        <f>SUM(C6:C10)</f>
        <v>77899.622999999992</v>
      </c>
      <c r="D5" s="17">
        <f>SUM(D6:D10)</f>
        <v>90865.949499999988</v>
      </c>
      <c r="E5" s="18">
        <f>SUM(E6:E10)</f>
        <v>108600.3815</v>
      </c>
    </row>
    <row r="6" spans="1:5" x14ac:dyDescent="0.25">
      <c r="A6" s="7" t="s">
        <v>14</v>
      </c>
      <c r="B6" s="251">
        <v>20000</v>
      </c>
      <c r="C6" s="252">
        <v>20000</v>
      </c>
      <c r="D6" s="252">
        <v>20000</v>
      </c>
      <c r="E6" s="253">
        <v>20000</v>
      </c>
    </row>
    <row r="7" spans="1:5" x14ac:dyDescent="0.25">
      <c r="A7" s="7" t="s">
        <v>379</v>
      </c>
      <c r="B7" s="251">
        <v>6000</v>
      </c>
      <c r="C7" s="252">
        <v>6000</v>
      </c>
      <c r="D7" s="252">
        <v>6000</v>
      </c>
      <c r="E7" s="253">
        <v>6000</v>
      </c>
    </row>
    <row r="8" spans="1:5" x14ac:dyDescent="0.25">
      <c r="A8" s="7" t="s">
        <v>380</v>
      </c>
      <c r="B8" s="251">
        <v>4000</v>
      </c>
      <c r="C8" s="252">
        <v>4000</v>
      </c>
      <c r="D8" s="252">
        <v>4000</v>
      </c>
      <c r="E8" s="253">
        <v>4000</v>
      </c>
    </row>
    <row r="9" spans="1:5" x14ac:dyDescent="0.25">
      <c r="A9" s="7" t="s">
        <v>15</v>
      </c>
      <c r="B9" s="251">
        <v>18071</v>
      </c>
      <c r="C9" s="31">
        <f>B9+'1 Výsledovka'!B17-(C8-B8)</f>
        <v>29329.603499999997</v>
      </c>
      <c r="D9" s="31">
        <f>C9+'1 Výsledovka'!C17</f>
        <v>42899.623</v>
      </c>
      <c r="E9" s="32">
        <f>D9+'1 Výsledovka'!D17</f>
        <v>55865.949500000002</v>
      </c>
    </row>
    <row r="10" spans="1:5" ht="16.5" thickBot="1" x14ac:dyDescent="0.3">
      <c r="A10" s="5" t="s">
        <v>381</v>
      </c>
      <c r="B10" s="91">
        <f>'1 Výsledovka'!B15</f>
        <v>16258.603499999999</v>
      </c>
      <c r="C10" s="19">
        <f>'1 Výsledovka'!C15</f>
        <v>18570.019500000002</v>
      </c>
      <c r="D10" s="19">
        <f>'1 Výsledovka'!D15</f>
        <v>17966.326500000003</v>
      </c>
      <c r="E10" s="20">
        <f>'1 Výsledovka'!E15</f>
        <v>22734.432000000001</v>
      </c>
    </row>
    <row r="11" spans="1:5" x14ac:dyDescent="0.25">
      <c r="A11" s="13" t="s">
        <v>382</v>
      </c>
      <c r="B11" s="94">
        <f>B12+B15</f>
        <v>66305</v>
      </c>
      <c r="C11" s="25">
        <f t="shared" ref="C11:E11" si="0">C12+C15</f>
        <v>78493</v>
      </c>
      <c r="D11" s="25">
        <f t="shared" si="0"/>
        <v>84424</v>
      </c>
      <c r="E11" s="26">
        <f t="shared" si="0"/>
        <v>87044</v>
      </c>
    </row>
    <row r="12" spans="1:5" x14ac:dyDescent="0.25">
      <c r="A12" s="5" t="s">
        <v>383</v>
      </c>
      <c r="B12" s="581">
        <f>B13+B14</f>
        <v>36773</v>
      </c>
      <c r="C12" s="582">
        <f t="shared" ref="C12:E12" si="1">C13+C14</f>
        <v>41307</v>
      </c>
      <c r="D12" s="582">
        <f t="shared" si="1"/>
        <v>43796</v>
      </c>
      <c r="E12" s="583">
        <f t="shared" si="1"/>
        <v>43796</v>
      </c>
    </row>
    <row r="13" spans="1:5" x14ac:dyDescent="0.25">
      <c r="A13" s="577" t="s">
        <v>384</v>
      </c>
      <c r="B13" s="584">
        <v>8000</v>
      </c>
      <c r="C13" s="585">
        <f>B13</f>
        <v>8000</v>
      </c>
      <c r="D13" s="585">
        <f>C13</f>
        <v>8000</v>
      </c>
      <c r="E13" s="586">
        <f>D13</f>
        <v>8000</v>
      </c>
    </row>
    <row r="14" spans="1:5" ht="16.5" thickBot="1" x14ac:dyDescent="0.3">
      <c r="A14" s="443" t="s">
        <v>385</v>
      </c>
      <c r="B14" s="578">
        <v>28773</v>
      </c>
      <c r="C14" s="579">
        <v>33307</v>
      </c>
      <c r="D14" s="579">
        <v>35796</v>
      </c>
      <c r="E14" s="580">
        <v>35796</v>
      </c>
    </row>
    <row r="15" spans="1:5" x14ac:dyDescent="0.25">
      <c r="A15" s="5" t="s">
        <v>386</v>
      </c>
      <c r="B15" s="587">
        <f>B16+B17</f>
        <v>29532</v>
      </c>
      <c r="C15" s="588">
        <f>C16+C17</f>
        <v>37186</v>
      </c>
      <c r="D15" s="588">
        <f>D16+D17</f>
        <v>40628</v>
      </c>
      <c r="E15" s="589">
        <f>E16+E17</f>
        <v>43248</v>
      </c>
    </row>
    <row r="16" spans="1:5" x14ac:dyDescent="0.25">
      <c r="A16" s="6" t="s">
        <v>387</v>
      </c>
      <c r="B16" s="242">
        <v>24821</v>
      </c>
      <c r="C16" s="243">
        <v>30591</v>
      </c>
      <c r="D16" s="243">
        <v>32884</v>
      </c>
      <c r="E16" s="244">
        <v>34987</v>
      </c>
    </row>
    <row r="17" spans="1:5" ht="16.5" thickBot="1" x14ac:dyDescent="0.3">
      <c r="A17" s="14" t="s">
        <v>388</v>
      </c>
      <c r="B17" s="248">
        <v>4711</v>
      </c>
      <c r="C17" s="249">
        <v>6595</v>
      </c>
      <c r="D17" s="249">
        <v>7744</v>
      </c>
      <c r="E17" s="250">
        <v>8261</v>
      </c>
    </row>
    <row r="23" spans="1:5" x14ac:dyDescent="0.25">
      <c r="B23" s="108"/>
    </row>
  </sheetData>
  <phoneticPr fontId="0" type="noConversion"/>
  <hyperlinks>
    <hyperlink ref="E1" location="Obsah!A1" display="Skok na obsah" xr:uid="{00000000-0004-0000-0300-000000000000}"/>
  </hyperlinks>
  <printOptions gridLinesSet="0"/>
  <pageMargins left="0.78740157480314965" right="0.78740157480314965" top="0.98425196850393704" bottom="0.78740157480314965" header="0.51181102362204722" footer="0.51181102362204722"/>
  <pageSetup paperSize="9" orientation="portrait" r:id="rId1"/>
  <headerFooter alignWithMargins="0">
    <oddHeader>&amp;L&amp;"Arial CE,Obyčejné"&amp;10Mařík, M. a kol.: Metody oceňování podniku pro pokročilé
Ekopress 2023&amp;R&amp;"Arial CE,Obyčejné"&amp;10Příklad: Vzájemná shoda metod DCF a EVA</oddHeader>
    <oddFooter>&amp;C&amp;"Arial CE,Obyčejné"&amp;10&amp;A - str. &amp;P&amp;R&amp;"Arial CE,Obyčejné"&amp;10©  Miloš Mařík, Pavla Maříková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E23"/>
  <sheetViews>
    <sheetView showGridLines="0" workbookViewId="0"/>
  </sheetViews>
  <sheetFormatPr defaultRowHeight="15.75" x14ac:dyDescent="0.25"/>
  <cols>
    <col min="1" max="1" width="35.625" customWidth="1"/>
  </cols>
  <sheetData>
    <row r="1" spans="1:5" ht="18.75" x14ac:dyDescent="0.3">
      <c r="A1" s="554" t="s">
        <v>397</v>
      </c>
      <c r="E1" s="555" t="s">
        <v>290</v>
      </c>
    </row>
    <row r="2" spans="1:5" ht="20.25" customHeight="1" thickBot="1" x14ac:dyDescent="0.3">
      <c r="A2" s="10" t="s">
        <v>138</v>
      </c>
      <c r="B2" s="4"/>
      <c r="C2" s="4"/>
      <c r="D2" s="4"/>
    </row>
    <row r="3" spans="1:5" ht="16.5" thickBot="1" x14ac:dyDescent="0.3">
      <c r="A3" s="237" t="s">
        <v>17</v>
      </c>
      <c r="B3" s="238">
        <f>'1 Aktiva'!B3</f>
        <v>2022</v>
      </c>
      <c r="C3" s="239">
        <f>'1 Aktiva'!C3</f>
        <v>2023</v>
      </c>
      <c r="D3" s="240">
        <f>'1 Aktiva'!D3</f>
        <v>2024</v>
      </c>
      <c r="E3" s="241">
        <f>'1 Aktiva'!E3</f>
        <v>2025</v>
      </c>
    </row>
    <row r="4" spans="1:5" ht="16.5" thickBot="1" x14ac:dyDescent="0.3">
      <c r="A4" s="137" t="s">
        <v>16</v>
      </c>
      <c r="B4" s="257">
        <v>0.19</v>
      </c>
      <c r="C4" s="258">
        <v>0.19</v>
      </c>
      <c r="D4" s="258">
        <v>0.19</v>
      </c>
      <c r="E4" s="259">
        <f>D4</f>
        <v>0.19</v>
      </c>
    </row>
    <row r="5" spans="1:5" x14ac:dyDescent="0.25">
      <c r="A5" s="5" t="s">
        <v>389</v>
      </c>
      <c r="B5" s="260">
        <v>165048</v>
      </c>
      <c r="C5" s="261">
        <v>214112.6</v>
      </c>
      <c r="D5" s="261">
        <v>236244</v>
      </c>
      <c r="E5" s="262">
        <v>251643</v>
      </c>
    </row>
    <row r="6" spans="1:5" x14ac:dyDescent="0.25">
      <c r="A6" s="6" t="s">
        <v>116</v>
      </c>
      <c r="B6" s="242">
        <v>105004</v>
      </c>
      <c r="C6" s="243">
        <v>143404</v>
      </c>
      <c r="D6" s="243">
        <v>155483</v>
      </c>
      <c r="E6" s="244">
        <v>161142</v>
      </c>
    </row>
    <row r="7" spans="1:5" x14ac:dyDescent="0.25">
      <c r="A7" s="6" t="s">
        <v>117</v>
      </c>
      <c r="B7" s="242">
        <v>34413</v>
      </c>
      <c r="C7" s="243">
        <v>42224</v>
      </c>
      <c r="D7" s="243">
        <v>52295</v>
      </c>
      <c r="E7" s="244">
        <v>55524</v>
      </c>
    </row>
    <row r="8" spans="1:5" x14ac:dyDescent="0.25">
      <c r="A8" s="6" t="s">
        <v>390</v>
      </c>
      <c r="B8" s="242">
        <v>5000</v>
      </c>
      <c r="C8" s="243">
        <v>4500</v>
      </c>
      <c r="D8" s="243">
        <v>5000</v>
      </c>
      <c r="E8" s="244">
        <v>5500</v>
      </c>
    </row>
    <row r="9" spans="1:5" x14ac:dyDescent="0.25">
      <c r="A9" s="7" t="s">
        <v>118</v>
      </c>
      <c r="B9" s="146">
        <f>B5-SUM(B6:B8)</f>
        <v>20631</v>
      </c>
      <c r="C9" s="31">
        <f>C5-SUM(C6:C8)</f>
        <v>23984.600000000006</v>
      </c>
      <c r="D9" s="31">
        <f>D5-SUM(D6:D8)</f>
        <v>23466</v>
      </c>
      <c r="E9" s="147">
        <f>E5-SUM(E6:E8)</f>
        <v>29477</v>
      </c>
    </row>
    <row r="10" spans="1:5" x14ac:dyDescent="0.25">
      <c r="A10" s="6" t="s">
        <v>19</v>
      </c>
      <c r="B10" s="92">
        <f>'1 Výsledovka'!$B$21*'1 Aktiva'!B20+'1 Výsledovka'!$B$20*'1 Aktiva'!B11</f>
        <v>700</v>
      </c>
      <c r="C10" s="21">
        <f>'1 Výsledovka'!$B$21*'1 Aktiva'!C20+'1 Výsledovka'!$B$20*'1 Aktiva'!C11</f>
        <v>700</v>
      </c>
      <c r="D10" s="21">
        <f>'1 Výsledovka'!$B$21*'1 Aktiva'!D20+'1 Výsledovka'!$B$20*'1 Aktiva'!D11</f>
        <v>700</v>
      </c>
      <c r="E10" s="22">
        <f>'1 Výsledovka'!$B$21*'1 Aktiva'!E20+'1 Výsledovka'!$B$20*'1 Aktiva'!E11</f>
        <v>700</v>
      </c>
    </row>
    <row r="11" spans="1:5" x14ac:dyDescent="0.25">
      <c r="A11" s="6" t="s">
        <v>20</v>
      </c>
      <c r="B11" s="92">
        <f>'1 Výsledovka'!$B$22*'1 Pasiva'!B13+'1 Výsledovka'!$B$23*'1 Pasiva'!B14-500</f>
        <v>1258.6500000000001</v>
      </c>
      <c r="C11" s="21">
        <f>'1 Výsledovka'!$B$22*'1 Pasiva'!B13+'1 Výsledovka'!$B$23*'1 Pasiva'!B14</f>
        <v>1758.65</v>
      </c>
      <c r="D11" s="21">
        <f>'1 Výsledovka'!$B$22*'1 Pasiva'!C13+'1 Výsledovka'!$B$23*'1 Pasiva'!C14</f>
        <v>1985.3500000000001</v>
      </c>
      <c r="E11" s="22">
        <f>'1 Výsledovka'!$B$22*'1 Pasiva'!D13+'1 Výsledovka'!$B$23*'1 Pasiva'!D14</f>
        <v>2109.8000000000002</v>
      </c>
    </row>
    <row r="12" spans="1:5" x14ac:dyDescent="0.25">
      <c r="A12" s="7" t="s">
        <v>119</v>
      </c>
      <c r="B12" s="97">
        <f>B10-B11</f>
        <v>-558.65000000000009</v>
      </c>
      <c r="C12" s="31">
        <f>C10-C11</f>
        <v>-1058.6500000000001</v>
      </c>
      <c r="D12" s="31">
        <f>D10-D11</f>
        <v>-1285.3500000000001</v>
      </c>
      <c r="E12" s="32">
        <f>E10-E11</f>
        <v>-1409.8000000000002</v>
      </c>
    </row>
    <row r="13" spans="1:5" x14ac:dyDescent="0.25">
      <c r="A13" s="8" t="s">
        <v>391</v>
      </c>
      <c r="B13" s="99">
        <f>B9+B12</f>
        <v>20072.349999999999</v>
      </c>
      <c r="C13" s="35">
        <f>C9+C12</f>
        <v>22925.950000000004</v>
      </c>
      <c r="D13" s="35">
        <f>D9+D12</f>
        <v>22180.65</v>
      </c>
      <c r="E13" s="36">
        <f>E9+E12</f>
        <v>28067.200000000001</v>
      </c>
    </row>
    <row r="14" spans="1:5" x14ac:dyDescent="0.25">
      <c r="A14" s="6" t="s">
        <v>21</v>
      </c>
      <c r="B14" s="92">
        <f>B13*B4</f>
        <v>3813.7464999999997</v>
      </c>
      <c r="C14" s="21">
        <f>C13*C4</f>
        <v>4355.9305000000013</v>
      </c>
      <c r="D14" s="21">
        <f>D13*D4</f>
        <v>4214.3235000000004</v>
      </c>
      <c r="E14" s="22">
        <f>E13*E4</f>
        <v>5332.768</v>
      </c>
    </row>
    <row r="15" spans="1:5" x14ac:dyDescent="0.25">
      <c r="A15" s="8" t="s">
        <v>100</v>
      </c>
      <c r="B15" s="99">
        <f>B13-B14</f>
        <v>16258.603499999999</v>
      </c>
      <c r="C15" s="35">
        <f>C13-C14</f>
        <v>18570.019500000002</v>
      </c>
      <c r="D15" s="35">
        <f>D13-D14</f>
        <v>17966.326500000003</v>
      </c>
      <c r="E15" s="36">
        <f>E13-E14</f>
        <v>22734.432000000001</v>
      </c>
    </row>
    <row r="16" spans="1:5" x14ac:dyDescent="0.25">
      <c r="A16" s="6" t="s">
        <v>22</v>
      </c>
      <c r="B16" s="242">
        <v>5000</v>
      </c>
      <c r="C16" s="243">
        <v>5000</v>
      </c>
      <c r="D16" s="243">
        <v>5000</v>
      </c>
      <c r="E16" s="244">
        <v>5000</v>
      </c>
    </row>
    <row r="17" spans="1:5" ht="16.5" thickBot="1" x14ac:dyDescent="0.3">
      <c r="A17" s="9" t="s">
        <v>23</v>
      </c>
      <c r="B17" s="100">
        <f>B15-B16</f>
        <v>11258.603499999999</v>
      </c>
      <c r="C17" s="37">
        <f>C15-C16</f>
        <v>13570.019500000002</v>
      </c>
      <c r="D17" s="37">
        <f>D15-D16</f>
        <v>12966.326500000003</v>
      </c>
      <c r="E17" s="38">
        <f>E15-E16</f>
        <v>17734.432000000001</v>
      </c>
    </row>
    <row r="18" spans="1:5" x14ac:dyDescent="0.25">
      <c r="D18" s="108"/>
    </row>
    <row r="19" spans="1:5" x14ac:dyDescent="0.25">
      <c r="A19" s="1" t="s">
        <v>232</v>
      </c>
    </row>
    <row r="20" spans="1:5" x14ac:dyDescent="0.25">
      <c r="A20" s="292" t="s">
        <v>1</v>
      </c>
      <c r="B20" s="295">
        <v>0.05</v>
      </c>
    </row>
    <row r="21" spans="1:5" x14ac:dyDescent="0.25">
      <c r="A21" s="294" t="s">
        <v>2</v>
      </c>
      <c r="B21" s="297">
        <v>0.03</v>
      </c>
    </row>
    <row r="22" spans="1:5" x14ac:dyDescent="0.25">
      <c r="A22" s="293" t="s">
        <v>3</v>
      </c>
      <c r="B22" s="296">
        <v>0.04</v>
      </c>
    </row>
    <row r="23" spans="1:5" x14ac:dyDescent="0.25">
      <c r="A23" s="294" t="s">
        <v>4</v>
      </c>
      <c r="B23" s="297">
        <v>0.05</v>
      </c>
    </row>
  </sheetData>
  <phoneticPr fontId="0" type="noConversion"/>
  <hyperlinks>
    <hyperlink ref="E1" location="Obsah!A1" display="Skok na obsah" xr:uid="{00000000-0004-0000-0400-000000000000}"/>
  </hyperlinks>
  <printOptions gridLinesSet="0"/>
  <pageMargins left="0.78740157480314965" right="0.78740157480314965" top="0.98425196850393704" bottom="0.78740157480314965" header="0.51181102362204722" footer="0.51181102362204722"/>
  <pageSetup paperSize="9" orientation="portrait" r:id="rId1"/>
  <headerFooter alignWithMargins="0">
    <oddHeader>&amp;L&amp;"Arial CE,Obyčejné"&amp;10Mařík, M. a kol.: Metody oceňování podniku pro pokročilé
Ekopress 2023&amp;R&amp;"Arial CE,Obyčejné"&amp;10Příklad: Vzájemná shoda metod DCF a EVA</oddHeader>
    <oddFooter>&amp;C&amp;"Arial CE,Obyčejné"&amp;10&amp;A - str. &amp;P&amp;R&amp;"Arial CE,Obyčejné"&amp;10©  Miloš Mařík, Pavla Maříková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E19"/>
  <sheetViews>
    <sheetView showGridLines="0" workbookViewId="0"/>
  </sheetViews>
  <sheetFormatPr defaultRowHeight="15.75" x14ac:dyDescent="0.25"/>
  <cols>
    <col min="1" max="1" width="35.625" customWidth="1"/>
  </cols>
  <sheetData>
    <row r="1" spans="1:5" ht="18.75" x14ac:dyDescent="0.3">
      <c r="A1" s="554" t="s">
        <v>397</v>
      </c>
      <c r="E1" s="555" t="s">
        <v>290</v>
      </c>
    </row>
    <row r="2" spans="1:5" ht="20.25" customHeight="1" thickBot="1" x14ac:dyDescent="0.3">
      <c r="A2" s="10" t="s">
        <v>139</v>
      </c>
      <c r="B2" s="4"/>
      <c r="C2" s="4"/>
    </row>
    <row r="3" spans="1:5" ht="16.5" thickBot="1" x14ac:dyDescent="0.3">
      <c r="A3" s="237" t="s">
        <v>17</v>
      </c>
      <c r="B3" s="239">
        <f>'1 Aktiva'!C3</f>
        <v>2023</v>
      </c>
      <c r="C3" s="240">
        <f>'1 Aktiva'!D3</f>
        <v>2024</v>
      </c>
      <c r="D3" s="241">
        <f>'1 Aktiva'!E3</f>
        <v>2025</v>
      </c>
    </row>
    <row r="4" spans="1:5" ht="16.5" thickBot="1" x14ac:dyDescent="0.3">
      <c r="A4" s="519" t="s">
        <v>130</v>
      </c>
      <c r="B4" s="520">
        <f>'1 Aktiva'!B21</f>
        <v>26488.603499999997</v>
      </c>
      <c r="C4" s="520">
        <f>B19</f>
        <v>39156.623</v>
      </c>
      <c r="D4" s="521">
        <f>C19</f>
        <v>48151.949500000002</v>
      </c>
    </row>
    <row r="5" spans="1:5" x14ac:dyDescent="0.25">
      <c r="A5" s="5" t="s">
        <v>146</v>
      </c>
      <c r="B5" s="19">
        <f>'1 Výsledovka'!C15</f>
        <v>18570.019500000002</v>
      </c>
      <c r="C5" s="19">
        <f>'1 Výsledovka'!D15</f>
        <v>17966.326500000003</v>
      </c>
      <c r="D5" s="20">
        <f>'1 Výsledovka'!E15</f>
        <v>22734.432000000001</v>
      </c>
    </row>
    <row r="6" spans="1:5" x14ac:dyDescent="0.25">
      <c r="A6" s="6" t="s">
        <v>18</v>
      </c>
      <c r="B6" s="21">
        <f>'1 Výsledovka'!C8</f>
        <v>4500</v>
      </c>
      <c r="C6" s="21">
        <f>'1 Výsledovka'!D8</f>
        <v>5000</v>
      </c>
      <c r="D6" s="22">
        <f>'1 Výsledovka'!E8</f>
        <v>5500</v>
      </c>
    </row>
    <row r="7" spans="1:5" x14ac:dyDescent="0.25">
      <c r="A7" s="6" t="s">
        <v>121</v>
      </c>
      <c r="B7" s="21">
        <f>-('1 Aktiva'!C13-'1 Aktiva'!B13)</f>
        <v>-7341</v>
      </c>
      <c r="C7" s="21">
        <f>-('1 Aktiva'!D13-'1 Aktiva'!C13)</f>
        <v>-3795</v>
      </c>
      <c r="D7" s="22">
        <f>-('1 Aktiva'!E13-'1 Aktiva'!D13)</f>
        <v>-2228</v>
      </c>
    </row>
    <row r="8" spans="1:5" x14ac:dyDescent="0.25">
      <c r="A8" s="6" t="s">
        <v>122</v>
      </c>
      <c r="B8" s="21">
        <f>-('1 Aktiva'!C17-'1 Aktiva'!B17)</f>
        <v>-5100</v>
      </c>
      <c r="C8" s="21">
        <f>-('1 Aktiva'!D17-'1 Aktiva'!C17)</f>
        <v>-5107</v>
      </c>
      <c r="D8" s="22">
        <f>-('1 Aktiva'!E17-'1 Aktiva'!D17)</f>
        <v>-1960</v>
      </c>
    </row>
    <row r="9" spans="1:5" x14ac:dyDescent="0.25">
      <c r="A9" s="6" t="s">
        <v>133</v>
      </c>
      <c r="B9" s="21">
        <f>-('1 Aktiva'!C20-'1 Aktiva'!B20)</f>
        <v>0</v>
      </c>
      <c r="C9" s="21">
        <f>-('1 Aktiva'!D20-'1 Aktiva'!C20)</f>
        <v>0</v>
      </c>
      <c r="D9" s="22">
        <f>-('1 Aktiva'!E20-'1 Aktiva'!D20)</f>
        <v>0</v>
      </c>
    </row>
    <row r="10" spans="1:5" x14ac:dyDescent="0.25">
      <c r="A10" s="6" t="s">
        <v>123</v>
      </c>
      <c r="B10" s="21">
        <f>'1 Pasiva'!C15-'1 Pasiva'!B15</f>
        <v>7654</v>
      </c>
      <c r="C10" s="21">
        <f>'1 Pasiva'!D15-'1 Pasiva'!C15</f>
        <v>3442</v>
      </c>
      <c r="D10" s="22">
        <f>'1 Pasiva'!E15-'1 Pasiva'!D15</f>
        <v>2620</v>
      </c>
    </row>
    <row r="11" spans="1:5" s="1" customFormat="1" x14ac:dyDescent="0.25">
      <c r="A11" s="148" t="s">
        <v>124</v>
      </c>
      <c r="B11" s="149">
        <f>SUM(B5:B10)</f>
        <v>18283.019500000002</v>
      </c>
      <c r="C11" s="149">
        <f>SUM(C5:C10)</f>
        <v>17506.326500000003</v>
      </c>
      <c r="D11" s="150">
        <f>SUM(D5:D10)</f>
        <v>26666.432000000001</v>
      </c>
    </row>
    <row r="12" spans="1:5" x14ac:dyDescent="0.25">
      <c r="A12" s="6" t="s">
        <v>125</v>
      </c>
      <c r="B12" s="21">
        <f>-('1 Aktiva'!C5-'1 Aktiva'!B5+'1 Výsledovka'!C8)</f>
        <v>-5149</v>
      </c>
      <c r="C12" s="21">
        <f>-('1 Aktiva'!D5-'1 Aktiva'!C5+'1 Výsledovka'!D8)</f>
        <v>-6000</v>
      </c>
      <c r="D12" s="22">
        <f>-('1 Aktiva'!E5-'1 Aktiva'!D5+'1 Výsledovka'!E8)</f>
        <v>-5500</v>
      </c>
    </row>
    <row r="13" spans="1:5" x14ac:dyDescent="0.25">
      <c r="A13" s="6" t="s">
        <v>134</v>
      </c>
      <c r="B13" s="243">
        <v>0</v>
      </c>
      <c r="C13" s="243">
        <v>0</v>
      </c>
      <c r="D13" s="244">
        <v>0</v>
      </c>
    </row>
    <row r="14" spans="1:5" s="1" customFormat="1" x14ac:dyDescent="0.25">
      <c r="A14" s="148" t="s">
        <v>126</v>
      </c>
      <c r="B14" s="149">
        <f>B12+B13</f>
        <v>-5149</v>
      </c>
      <c r="C14" s="149">
        <f>C12+C13</f>
        <v>-6000</v>
      </c>
      <c r="D14" s="151">
        <f>D12+D13</f>
        <v>-5500</v>
      </c>
    </row>
    <row r="15" spans="1:5" x14ac:dyDescent="0.25">
      <c r="A15" s="6" t="s">
        <v>127</v>
      </c>
      <c r="B15" s="21">
        <f>-'1 Výsledovka'!B16</f>
        <v>-5000</v>
      </c>
      <c r="C15" s="21">
        <f>-'1 Výsledovka'!C16</f>
        <v>-5000</v>
      </c>
      <c r="D15" s="22">
        <f>-'1 Výsledovka'!D16</f>
        <v>-5000</v>
      </c>
    </row>
    <row r="16" spans="1:5" x14ac:dyDescent="0.25">
      <c r="A16" s="6" t="s">
        <v>128</v>
      </c>
      <c r="B16" s="21">
        <f>'1 Pasiva'!C13-'1 Pasiva'!B13+'1 Pasiva'!C14-'1 Pasiva'!B14</f>
        <v>4534</v>
      </c>
      <c r="C16" s="21">
        <f>'1 Pasiva'!D13-'1 Pasiva'!C13+'1 Pasiva'!D14-'1 Pasiva'!C14</f>
        <v>2489</v>
      </c>
      <c r="D16" s="22">
        <f>'1 Pasiva'!E13-'1 Pasiva'!D13+'1 Pasiva'!E14-'1 Pasiva'!D14</f>
        <v>0</v>
      </c>
    </row>
    <row r="17" spans="1:4" x14ac:dyDescent="0.25">
      <c r="A17" s="8" t="s">
        <v>129</v>
      </c>
      <c r="B17" s="35">
        <f>B15+B16</f>
        <v>-466</v>
      </c>
      <c r="C17" s="35">
        <f>C15+C16</f>
        <v>-2511</v>
      </c>
      <c r="D17" s="36">
        <f>D15+D16</f>
        <v>-5000</v>
      </c>
    </row>
    <row r="18" spans="1:4" ht="16.5" thickBot="1" x14ac:dyDescent="0.3">
      <c r="A18" s="8" t="s">
        <v>132</v>
      </c>
      <c r="B18" s="35">
        <f>B11+B14+B17</f>
        <v>12668.019500000002</v>
      </c>
      <c r="C18" s="35">
        <f>C11+C14+C17</f>
        <v>8995.3265000000029</v>
      </c>
      <c r="D18" s="36">
        <f>D11+D14+D17</f>
        <v>16166.432000000001</v>
      </c>
    </row>
    <row r="19" spans="1:4" ht="16.5" thickBot="1" x14ac:dyDescent="0.3">
      <c r="A19" s="519" t="s">
        <v>131</v>
      </c>
      <c r="B19" s="520">
        <f>B4+B18</f>
        <v>39156.623</v>
      </c>
      <c r="C19" s="520">
        <f>C4+C18</f>
        <v>48151.949500000002</v>
      </c>
      <c r="D19" s="521">
        <f>D4+D18</f>
        <v>64318.381500000003</v>
      </c>
    </row>
  </sheetData>
  <phoneticPr fontId="0" type="noConversion"/>
  <hyperlinks>
    <hyperlink ref="E1" location="Obsah!A1" display="Skok na obsah" xr:uid="{00000000-0004-0000-0500-000000000000}"/>
  </hyperlinks>
  <printOptions gridLinesSet="0"/>
  <pageMargins left="0.78740157480314965" right="0.78740157480314965" top="0.98425196850393704" bottom="0.78740157480314965" header="0.51181102362204722" footer="0.51181102362204722"/>
  <pageSetup paperSize="9" orientation="portrait" r:id="rId1"/>
  <headerFooter alignWithMargins="0">
    <oddHeader>&amp;L&amp;"Arial CE,Obyčejné"&amp;10Mařík, M. a kol.: Metody oceňování podniku pro pokročilé
Ekopress 2023&amp;R&amp;"Arial CE,Obyčejné"&amp;10Příklad: Vzájemná shoda metod DCF a EVA</oddHeader>
    <oddFooter>&amp;C&amp;"Arial CE,Obyčejné"&amp;10&amp;A - str. &amp;P&amp;R&amp;"Arial CE,Obyčejné"&amp;10©  Miloš Mařík, Pavla Maříková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E19"/>
  <sheetViews>
    <sheetView showGridLines="0" workbookViewId="0"/>
  </sheetViews>
  <sheetFormatPr defaultRowHeight="15.75" x14ac:dyDescent="0.25"/>
  <cols>
    <col min="1" max="1" width="5" customWidth="1"/>
    <col min="2" max="2" width="4.875" customWidth="1"/>
    <col min="3" max="3" width="40.125" customWidth="1"/>
    <col min="5" max="5" width="17.125" customWidth="1"/>
  </cols>
  <sheetData>
    <row r="1" spans="1:5" ht="18.75" x14ac:dyDescent="0.3">
      <c r="A1" s="554" t="s">
        <v>397</v>
      </c>
      <c r="E1" s="555" t="s">
        <v>290</v>
      </c>
    </row>
    <row r="2" spans="1:5" ht="20.25" customHeight="1" x14ac:dyDescent="0.25">
      <c r="A2" s="3" t="s">
        <v>24</v>
      </c>
    </row>
    <row r="4" spans="1:5" ht="20.25" x14ac:dyDescent="0.3">
      <c r="A4" s="58">
        <v>1</v>
      </c>
      <c r="B4" t="str">
        <f>"Společnost Delta na počátku roku "&amp;FIXED(rok,0,1)&amp;" pořídila park nákladních automobilů"</f>
        <v>Společnost Delta na počátku roku 2022 pořídila park nákladních automobilů</v>
      </c>
    </row>
    <row r="5" spans="1:5" ht="15" customHeight="1" x14ac:dyDescent="0.3">
      <c r="A5" s="58"/>
      <c r="B5" t="s">
        <v>25</v>
      </c>
    </row>
    <row r="6" spans="1:5" ht="15" customHeight="1" x14ac:dyDescent="0.3">
      <c r="A6" s="58"/>
    </row>
    <row r="7" spans="1:5" ht="20.25" x14ac:dyDescent="0.3">
      <c r="A7" s="58">
        <v>2</v>
      </c>
      <c r="B7" t="s">
        <v>147</v>
      </c>
    </row>
    <row r="8" spans="1:5" ht="15" customHeight="1" x14ac:dyDescent="0.3">
      <c r="A8" s="58"/>
      <c r="B8" t="s">
        <v>26</v>
      </c>
    </row>
    <row r="9" spans="1:5" ht="15" customHeight="1" x14ac:dyDescent="0.3">
      <c r="A9" s="58"/>
      <c r="B9" t="s">
        <v>27</v>
      </c>
    </row>
    <row r="10" spans="1:5" ht="15" customHeight="1" x14ac:dyDescent="0.3">
      <c r="A10" s="58"/>
      <c r="B10" s="62" t="s">
        <v>28</v>
      </c>
    </row>
    <row r="11" spans="1:5" ht="15" customHeight="1" x14ac:dyDescent="0.3">
      <c r="A11" s="58"/>
    </row>
    <row r="12" spans="1:5" ht="20.25" x14ac:dyDescent="0.3">
      <c r="A12" s="58">
        <v>3</v>
      </c>
      <c r="B12" t="s">
        <v>29</v>
      </c>
    </row>
    <row r="13" spans="1:5" ht="20.25" x14ac:dyDescent="0.3">
      <c r="A13" s="58"/>
      <c r="B13" s="59" t="s">
        <v>0</v>
      </c>
      <c r="C13" t="s">
        <v>104</v>
      </c>
    </row>
    <row r="14" spans="1:5" ht="20.25" x14ac:dyDescent="0.3">
      <c r="A14" s="58"/>
      <c r="B14" s="59" t="s">
        <v>0</v>
      </c>
      <c r="C14" t="s">
        <v>105</v>
      </c>
      <c r="D14" s="60"/>
    </row>
    <row r="15" spans="1:5" ht="15" customHeight="1" x14ac:dyDescent="0.3">
      <c r="A15" s="58"/>
      <c r="C15" t="s">
        <v>106</v>
      </c>
      <c r="D15" s="263">
        <v>0.3</v>
      </c>
    </row>
    <row r="16" spans="1:5" ht="15" customHeight="1" x14ac:dyDescent="0.3">
      <c r="A16" s="58"/>
      <c r="C16" s="134" t="s">
        <v>107</v>
      </c>
      <c r="D16" s="61"/>
    </row>
    <row r="17" spans="1:2" ht="15" customHeight="1" x14ac:dyDescent="0.3">
      <c r="A17" s="58"/>
    </row>
    <row r="18" spans="1:2" ht="20.25" x14ac:dyDescent="0.3">
      <c r="A18" s="58">
        <v>4</v>
      </c>
      <c r="B18" t="s">
        <v>108</v>
      </c>
    </row>
    <row r="19" spans="1:2" ht="15" customHeight="1" x14ac:dyDescent="0.3">
      <c r="A19" s="58"/>
      <c r="B19" t="str">
        <f>"udrží na úrovni z roku " &amp;FIXED(rok+3,0,1)&amp;"."</f>
        <v>udrží na úrovni z roku 2025.</v>
      </c>
    </row>
  </sheetData>
  <phoneticPr fontId="0" type="noConversion"/>
  <hyperlinks>
    <hyperlink ref="E1" location="Obsah!A1" display="Skok na obsah" xr:uid="{00000000-0004-0000-0600-000000000000}"/>
  </hyperlinks>
  <printOptions gridLinesSet="0"/>
  <pageMargins left="0.78740157480314965" right="0.78740157480314965" top="0.98425196850393704" bottom="0.78740157480314965" header="0.51181102362204722" footer="0.51181102362204722"/>
  <pageSetup paperSize="9" orientation="portrait" r:id="rId1"/>
  <headerFooter alignWithMargins="0">
    <oddHeader>&amp;L&amp;"Arial CE,Obyčejné"&amp;10Mařík, M. a kol.: Metody oceňování podniku pro pokročilé
Ekopress 2023&amp;R&amp;"Arial CE,Obyčejné"&amp;10Příklad: Vzájemná shoda metod DCF a EVA</oddHeader>
    <oddFooter>&amp;C&amp;"Arial CE,Obyčejné"&amp;10&amp;A - str. &amp;P&amp;R&amp;"Arial CE,Obyčejné"&amp;10©  Miloš Mařík, Pavla Maříková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K20"/>
  <sheetViews>
    <sheetView showGridLines="0" workbookViewId="0"/>
  </sheetViews>
  <sheetFormatPr defaultRowHeight="15.75" x14ac:dyDescent="0.25"/>
  <cols>
    <col min="1" max="1" width="10.125" customWidth="1"/>
    <col min="2" max="5" width="7.25" customWidth="1"/>
    <col min="6" max="6" width="16.625" customWidth="1"/>
    <col min="7" max="10" width="7.125" customWidth="1"/>
    <col min="11" max="11" width="0.75" customWidth="1"/>
  </cols>
  <sheetData>
    <row r="1" spans="1:11" ht="18.75" x14ac:dyDescent="0.3">
      <c r="A1" s="554" t="s">
        <v>398</v>
      </c>
      <c r="J1" s="555" t="s">
        <v>290</v>
      </c>
    </row>
    <row r="2" spans="1:11" ht="20.25" customHeight="1" x14ac:dyDescent="0.25">
      <c r="A2" s="3" t="s">
        <v>238</v>
      </c>
    </row>
    <row r="4" spans="1:11" ht="16.5" thickBot="1" x14ac:dyDescent="0.3">
      <c r="A4" s="2" t="s">
        <v>226</v>
      </c>
    </row>
    <row r="5" spans="1:11" ht="16.5" thickBot="1" x14ac:dyDescent="0.3">
      <c r="A5" s="265" t="s">
        <v>5</v>
      </c>
      <c r="B5" s="238">
        <f>'1 Aktiva'!B3</f>
        <v>2022</v>
      </c>
      <c r="C5" s="266">
        <f>'1 Aktiva'!C3</f>
        <v>2023</v>
      </c>
      <c r="D5" s="240">
        <f>'1 Aktiva'!D3</f>
        <v>2024</v>
      </c>
      <c r="E5" s="241">
        <f>'1 Aktiva'!E3</f>
        <v>2025</v>
      </c>
      <c r="F5" s="237" t="s">
        <v>11</v>
      </c>
      <c r="G5" s="238">
        <f>B5</f>
        <v>2022</v>
      </c>
      <c r="H5" s="239">
        <f>C5</f>
        <v>2023</v>
      </c>
      <c r="I5" s="240">
        <f>D5</f>
        <v>2024</v>
      </c>
      <c r="J5" s="241">
        <f>E5</f>
        <v>2025</v>
      </c>
      <c r="K5" s="63"/>
    </row>
    <row r="6" spans="1:11" ht="30" x14ac:dyDescent="0.25">
      <c r="A6" s="267" t="s">
        <v>149</v>
      </c>
      <c r="B6" s="268">
        <f>'1 Aktiva'!B5</f>
        <v>65394</v>
      </c>
      <c r="C6" s="269">
        <f>'1 Aktiva'!C5</f>
        <v>66043</v>
      </c>
      <c r="D6" s="156">
        <f>'1 Aktiva'!D5</f>
        <v>67043</v>
      </c>
      <c r="E6" s="177">
        <f>'1 Aktiva'!E5</f>
        <v>67043</v>
      </c>
      <c r="F6" s="270" t="s">
        <v>53</v>
      </c>
      <c r="G6" s="268">
        <f>'1 Pasiva'!B5</f>
        <v>64329.603499999997</v>
      </c>
      <c r="H6" s="269">
        <f>'1 Pasiva'!C5</f>
        <v>77899.622999999992</v>
      </c>
      <c r="I6" s="156">
        <f>'1 Pasiva'!D5</f>
        <v>90865.949499999988</v>
      </c>
      <c r="J6" s="177">
        <f>'1 Pasiva'!E5</f>
        <v>108600.3815</v>
      </c>
      <c r="K6" s="63"/>
    </row>
    <row r="7" spans="1:11" ht="30.75" thickBot="1" x14ac:dyDescent="0.3">
      <c r="A7" s="271" t="s">
        <v>55</v>
      </c>
      <c r="B7" s="272">
        <f>'1 Aktiva'!B12-'1 Pasiva'!B15</f>
        <v>35708.603499999997</v>
      </c>
      <c r="C7" s="273">
        <f>'1 Aktiva'!C12-'1 Pasiva'!C15</f>
        <v>53163.622999999992</v>
      </c>
      <c r="D7" s="152">
        <f>'1 Aktiva'!D12-'1 Pasiva'!D15</f>
        <v>67618.949500000002</v>
      </c>
      <c r="E7" s="152">
        <f>'1 Aktiva'!E12-'1 Pasiva'!E15</f>
        <v>85353.381500000003</v>
      </c>
      <c r="F7" s="274" t="s">
        <v>56</v>
      </c>
      <c r="G7" s="275">
        <f>'1 Pasiva'!B13+'1 Pasiva'!B14</f>
        <v>36773</v>
      </c>
      <c r="H7" s="276">
        <f>'1 Pasiva'!C13+'1 Pasiva'!C14</f>
        <v>41307</v>
      </c>
      <c r="I7" s="84">
        <f>'1 Pasiva'!D13+'1 Pasiva'!D14</f>
        <v>43796</v>
      </c>
      <c r="J7" s="84">
        <f>'1 Pasiva'!E13+'1 Pasiva'!E14</f>
        <v>43796</v>
      </c>
      <c r="K7" s="63"/>
    </row>
    <row r="8" spans="1:11" ht="16.5" thickBot="1" x14ac:dyDescent="0.3">
      <c r="A8" s="277" t="s">
        <v>57</v>
      </c>
      <c r="B8" s="278">
        <f>SUM(B6:B7)</f>
        <v>101102.6035</v>
      </c>
      <c r="C8" s="279">
        <f>SUM(C6:C7)</f>
        <v>119206.62299999999</v>
      </c>
      <c r="D8" s="85">
        <f>SUM(D6:D7)</f>
        <v>134661.94949999999</v>
      </c>
      <c r="E8" s="85">
        <f>SUM(E6:E7)</f>
        <v>152396.38150000002</v>
      </c>
      <c r="F8" s="277" t="s">
        <v>57</v>
      </c>
      <c r="G8" s="278">
        <f>SUM(G6:G7)</f>
        <v>101102.6035</v>
      </c>
      <c r="H8" s="279">
        <f>SUM(H6:H7)</f>
        <v>119206.62299999999</v>
      </c>
      <c r="I8" s="85">
        <f>SUM(I6:I7)</f>
        <v>134661.94949999999</v>
      </c>
      <c r="J8" s="85">
        <f>SUM(J6:J7)</f>
        <v>152396.38150000002</v>
      </c>
      <c r="K8" s="63"/>
    </row>
    <row r="9" spans="1:11" x14ac:dyDescent="0.25">
      <c r="A9" s="144"/>
      <c r="B9" s="145"/>
      <c r="C9" s="145"/>
      <c r="D9" s="145"/>
      <c r="E9" s="145"/>
      <c r="F9" s="142"/>
      <c r="G9" s="143"/>
      <c r="H9" s="143"/>
      <c r="I9" s="143"/>
      <c r="J9" s="143"/>
    </row>
    <row r="10" spans="1:11" ht="16.5" thickBot="1" x14ac:dyDescent="0.3">
      <c r="A10" s="2" t="s">
        <v>227</v>
      </c>
    </row>
    <row r="11" spans="1:11" ht="16.5" thickBot="1" x14ac:dyDescent="0.3">
      <c r="A11" s="264"/>
      <c r="B11" s="280"/>
      <c r="C11" s="280"/>
      <c r="D11" s="280"/>
      <c r="E11" s="280"/>
      <c r="F11" s="281"/>
      <c r="G11" s="238">
        <f>B5</f>
        <v>2022</v>
      </c>
      <c r="H11" s="239">
        <f>C5</f>
        <v>2023</v>
      </c>
      <c r="I11" s="240">
        <f>D5</f>
        <v>2024</v>
      </c>
      <c r="J11" s="241">
        <f>E5</f>
        <v>2025</v>
      </c>
      <c r="K11" s="63"/>
    </row>
    <row r="12" spans="1:11" x14ac:dyDescent="0.25">
      <c r="A12" s="66" t="s">
        <v>102</v>
      </c>
      <c r="B12" s="67"/>
      <c r="C12" s="67"/>
      <c r="D12" s="67"/>
      <c r="E12" s="67"/>
      <c r="F12" s="68"/>
      <c r="G12" s="282">
        <f>'1 Informace'!$D$15*'1 Pasiva'!B15</f>
        <v>8859.6</v>
      </c>
      <c r="H12" s="69">
        <f>'1 Informace'!$D$15*'1 Pasiva'!C15</f>
        <v>11155.8</v>
      </c>
      <c r="I12" s="69">
        <f>'1 Informace'!$D$15*'1 Pasiva'!D15</f>
        <v>12188.4</v>
      </c>
      <c r="J12" s="69">
        <f>'1 Informace'!$D$15*'1 Pasiva'!E15</f>
        <v>12974.4</v>
      </c>
      <c r="K12" s="63"/>
    </row>
    <row r="13" spans="1:11" x14ac:dyDescent="0.25">
      <c r="A13" s="63" t="s">
        <v>103</v>
      </c>
      <c r="F13" s="65"/>
      <c r="G13" s="283">
        <f>IF(G12&lt;'1 Aktiva'!B21,'1 Aktiva'!B21-'1 Společné úpravy - NOA'!G12,0)</f>
        <v>17629.003499999999</v>
      </c>
      <c r="H13" s="70">
        <f>IF(H12&lt;'1 Aktiva'!C21,'1 Aktiva'!C21-'1 Společné úpravy - NOA'!H12,0)</f>
        <v>28000.823</v>
      </c>
      <c r="I13" s="70">
        <f>IF(I12&lt;'1 Aktiva'!D21,'1 Aktiva'!D21-'1 Společné úpravy - NOA'!I12,0)</f>
        <v>35963.549500000001</v>
      </c>
      <c r="J13" s="70">
        <f>IF(J12&lt;'1 Aktiva'!E21,'1 Aktiva'!E21-'1 Společné úpravy - NOA'!J12,0)</f>
        <v>51343.981500000002</v>
      </c>
      <c r="K13" s="63"/>
    </row>
    <row r="14" spans="1:11" x14ac:dyDescent="0.25">
      <c r="A14" s="63" t="s">
        <v>150</v>
      </c>
      <c r="F14" s="65"/>
      <c r="G14" s="283">
        <f>'1 Aktiva'!B10</f>
        <v>11000</v>
      </c>
      <c r="H14" s="70">
        <f>'1 Aktiva'!C10</f>
        <v>11000</v>
      </c>
      <c r="I14" s="70">
        <f>'1 Aktiva'!D10</f>
        <v>11000</v>
      </c>
      <c r="J14" s="70">
        <f>'1 Aktiva'!E10</f>
        <v>11000</v>
      </c>
      <c r="K14" s="63"/>
    </row>
    <row r="15" spans="1:11" ht="16.5" thickBot="1" x14ac:dyDescent="0.3">
      <c r="A15" s="63" t="s">
        <v>151</v>
      </c>
      <c r="F15" s="65"/>
      <c r="G15" s="283">
        <f>'1 Aktiva'!B20</f>
        <v>5000</v>
      </c>
      <c r="H15" s="70">
        <f>'1 Aktiva'!C20</f>
        <v>5000</v>
      </c>
      <c r="I15" s="70">
        <f>'1 Aktiva'!D20</f>
        <v>5000</v>
      </c>
      <c r="J15" s="70">
        <f>'1 Aktiva'!E20</f>
        <v>5000</v>
      </c>
      <c r="K15" s="63"/>
    </row>
    <row r="16" spans="1:11" ht="16.5" thickBot="1" x14ac:dyDescent="0.3">
      <c r="A16" s="71" t="s">
        <v>58</v>
      </c>
      <c r="B16" s="72"/>
      <c r="C16" s="72"/>
      <c r="D16" s="72"/>
      <c r="E16" s="72"/>
      <c r="F16" s="73"/>
      <c r="G16" s="284">
        <f>SUM(G13:G15)</f>
        <v>33629.003499999999</v>
      </c>
      <c r="H16" s="64">
        <f>SUM(H13:H15)</f>
        <v>44000.823000000004</v>
      </c>
      <c r="I16" s="64">
        <f>SUM(I13:I15)</f>
        <v>51963.549500000001</v>
      </c>
      <c r="J16" s="64">
        <f>SUM(J13:J15)</f>
        <v>67343.981499999994</v>
      </c>
      <c r="K16" s="63"/>
    </row>
    <row r="18" spans="1:11" ht="16.5" thickBot="1" x14ac:dyDescent="0.3">
      <c r="A18" s="2" t="s">
        <v>228</v>
      </c>
    </row>
    <row r="19" spans="1:11" ht="16.5" thickBot="1" x14ac:dyDescent="0.3">
      <c r="A19" s="264"/>
      <c r="B19" s="280"/>
      <c r="C19" s="280"/>
      <c r="D19" s="280"/>
      <c r="E19" s="280"/>
      <c r="F19" s="281"/>
      <c r="G19" s="238">
        <f>G11</f>
        <v>2022</v>
      </c>
      <c r="H19" s="239">
        <f>H11</f>
        <v>2023</v>
      </c>
      <c r="I19" s="240">
        <f>I11</f>
        <v>2024</v>
      </c>
      <c r="J19" s="241">
        <f>J11</f>
        <v>2025</v>
      </c>
      <c r="K19" s="63"/>
    </row>
    <row r="20" spans="1:11" ht="16.5" thickBot="1" x14ac:dyDescent="0.3">
      <c r="A20" s="71" t="s">
        <v>229</v>
      </c>
      <c r="B20" s="72"/>
      <c r="C20" s="72"/>
      <c r="D20" s="72"/>
      <c r="E20" s="72"/>
      <c r="F20" s="73"/>
      <c r="G20" s="284">
        <f>G8-G16</f>
        <v>67473.600000000006</v>
      </c>
      <c r="H20" s="64">
        <f>H8-H16</f>
        <v>75205.799999999988</v>
      </c>
      <c r="I20" s="64">
        <f>I8-I16</f>
        <v>82698.399999999994</v>
      </c>
      <c r="J20" s="64">
        <f>J8-J16</f>
        <v>85052.400000000023</v>
      </c>
      <c r="K20" s="63"/>
    </row>
  </sheetData>
  <phoneticPr fontId="0" type="noConversion"/>
  <hyperlinks>
    <hyperlink ref="J1" location="Obsah!A1" display="Skok na obsah" xr:uid="{00000000-0004-0000-0700-000000000000}"/>
  </hyperlinks>
  <printOptions gridLinesSet="0"/>
  <pageMargins left="0.78740157480314965" right="0.78740157480314965" top="0.98425196850393704" bottom="0.78740157480314965" header="0.51181102362204722" footer="0.51181102362204722"/>
  <pageSetup paperSize="9" scale="94" orientation="portrait" r:id="rId1"/>
  <headerFooter alignWithMargins="0">
    <oddHeader>&amp;L&amp;"Arial CE,Obyčejné"&amp;10Mařík, M. a kol.: Metody oceňování podniku pro pokročilé
Ekopress 2023&amp;R&amp;"Arial CE,Obyčejné"&amp;10Příklad: Vzájemná shoda metod DCF a EVA</oddHeader>
    <oddFooter>&amp;C&amp;"Arial CE,Obyčejné"&amp;10&amp;A - str. &amp;P&amp;R&amp;"Arial CE,Obyčejné"&amp;10©  Miloš Mařík, Pavla Maříková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E28"/>
  <sheetViews>
    <sheetView showGridLines="0" workbookViewId="0"/>
  </sheetViews>
  <sheetFormatPr defaultRowHeight="15.75" x14ac:dyDescent="0.25"/>
  <cols>
    <col min="1" max="1" width="40.625" customWidth="1"/>
    <col min="2" max="5" width="8.125" customWidth="1"/>
  </cols>
  <sheetData>
    <row r="1" spans="1:5" ht="18.75" x14ac:dyDescent="0.3">
      <c r="A1" s="554" t="s">
        <v>398</v>
      </c>
      <c r="E1" s="555" t="s">
        <v>290</v>
      </c>
    </row>
    <row r="2" spans="1:5" ht="20.25" customHeight="1" x14ac:dyDescent="0.25">
      <c r="A2" s="3" t="s">
        <v>59</v>
      </c>
    </row>
    <row r="3" spans="1:5" ht="18" customHeight="1" x14ac:dyDescent="0.25">
      <c r="A3" s="125" t="s">
        <v>60</v>
      </c>
    </row>
    <row r="4" spans="1:5" x14ac:dyDescent="0.25">
      <c r="A4" s="106" t="s">
        <v>61</v>
      </c>
      <c r="B4" s="287">
        <v>0.15</v>
      </c>
    </row>
    <row r="5" spans="1:5" x14ac:dyDescent="0.25">
      <c r="A5" s="285"/>
      <c r="B5" s="288">
        <f>rok+1</f>
        <v>2023</v>
      </c>
      <c r="C5" s="288">
        <f>B5+1</f>
        <v>2024</v>
      </c>
      <c r="D5" s="288">
        <f>C5+1</f>
        <v>2025</v>
      </c>
      <c r="E5" s="288">
        <f>D5+1</f>
        <v>2026</v>
      </c>
    </row>
    <row r="6" spans="1:5" x14ac:dyDescent="0.25">
      <c r="A6" s="40" t="s">
        <v>152</v>
      </c>
      <c r="B6" s="109">
        <f>'1 Výsledovka'!C4</f>
        <v>0.19</v>
      </c>
      <c r="C6" s="109">
        <f>'1 Výsledovka'!D4</f>
        <v>0.19</v>
      </c>
      <c r="D6" s="109">
        <f>'1 Výsledovka'!E4</f>
        <v>0.19</v>
      </c>
      <c r="E6" s="109">
        <f>D6</f>
        <v>0.19</v>
      </c>
    </row>
    <row r="7" spans="1:5" ht="19.5" customHeight="1" x14ac:dyDescent="0.25">
      <c r="A7" s="286" t="s">
        <v>62</v>
      </c>
      <c r="B7" s="126"/>
      <c r="C7" s="126"/>
      <c r="D7" s="126"/>
      <c r="E7" s="126"/>
    </row>
    <row r="8" spans="1:5" x14ac:dyDescent="0.25">
      <c r="A8" s="77" t="s">
        <v>63</v>
      </c>
      <c r="B8" s="289">
        <v>480</v>
      </c>
      <c r="C8" s="289">
        <v>500</v>
      </c>
      <c r="D8" s="289">
        <v>520</v>
      </c>
      <c r="E8" s="289">
        <v>530</v>
      </c>
    </row>
    <row r="9" spans="1:5" x14ac:dyDescent="0.25">
      <c r="A9" s="78" t="s">
        <v>64</v>
      </c>
      <c r="B9" s="290">
        <f>'1 Pasiva'!B6/250</f>
        <v>80</v>
      </c>
      <c r="C9" s="290">
        <f>'1 Pasiva'!C6/250</f>
        <v>80</v>
      </c>
      <c r="D9" s="290">
        <f>'1 Pasiva'!D6/250</f>
        <v>80</v>
      </c>
      <c r="E9" s="290">
        <f>D9</f>
        <v>80</v>
      </c>
    </row>
    <row r="10" spans="1:5" ht="19.5" customHeight="1" x14ac:dyDescent="0.25">
      <c r="A10" s="286" t="s">
        <v>65</v>
      </c>
      <c r="B10" s="126"/>
      <c r="C10" s="126"/>
      <c r="D10" s="126"/>
      <c r="E10" s="126"/>
    </row>
    <row r="11" spans="1:5" x14ac:dyDescent="0.25">
      <c r="A11" s="77" t="s">
        <v>66</v>
      </c>
      <c r="B11" s="70">
        <f>'1 Pasiva'!B13</f>
        <v>8000</v>
      </c>
      <c r="C11" s="70">
        <f>'1 Pasiva'!C13</f>
        <v>8000</v>
      </c>
      <c r="D11" s="70">
        <f>'1 Pasiva'!D13</f>
        <v>8000</v>
      </c>
      <c r="E11" s="70">
        <f>D11</f>
        <v>8000</v>
      </c>
    </row>
    <row r="12" spans="1:5" x14ac:dyDescent="0.25">
      <c r="A12" s="77" t="s">
        <v>67</v>
      </c>
      <c r="B12" s="70">
        <f>'1 Pasiva'!B14</f>
        <v>28773</v>
      </c>
      <c r="C12" s="70">
        <f>'1 Pasiva'!C14</f>
        <v>33307</v>
      </c>
      <c r="D12" s="70">
        <f>'1 Pasiva'!D14</f>
        <v>35796</v>
      </c>
      <c r="E12" s="70">
        <f>D12</f>
        <v>35796</v>
      </c>
    </row>
    <row r="13" spans="1:5" x14ac:dyDescent="0.25">
      <c r="A13" s="127" t="s">
        <v>69</v>
      </c>
      <c r="B13" s="128">
        <f>SUM(B11:B12)</f>
        <v>36773</v>
      </c>
      <c r="C13" s="128">
        <f>SUM(C11:C12)</f>
        <v>41307</v>
      </c>
      <c r="D13" s="128">
        <f>SUM(D11:D12)</f>
        <v>43796</v>
      </c>
      <c r="E13" s="128">
        <f>SUM(E11:E12)</f>
        <v>43796</v>
      </c>
    </row>
    <row r="14" spans="1:5" x14ac:dyDescent="0.25">
      <c r="A14" s="77" t="s">
        <v>70</v>
      </c>
      <c r="B14" s="75">
        <f t="shared" ref="B14:E15" si="0">B11/B$13</f>
        <v>0.21755092051233241</v>
      </c>
      <c r="C14" s="75">
        <f t="shared" si="0"/>
        <v>0.19367177475972597</v>
      </c>
      <c r="D14" s="75">
        <f t="shared" si="0"/>
        <v>0.18266508356927574</v>
      </c>
      <c r="E14" s="75">
        <f t="shared" si="0"/>
        <v>0.18266508356927574</v>
      </c>
    </row>
    <row r="15" spans="1:5" x14ac:dyDescent="0.25">
      <c r="A15" s="77" t="s">
        <v>230</v>
      </c>
      <c r="B15" s="75">
        <f t="shared" si="0"/>
        <v>0.78244907948766762</v>
      </c>
      <c r="C15" s="75">
        <f t="shared" si="0"/>
        <v>0.80632822524027403</v>
      </c>
      <c r="D15" s="75">
        <f t="shared" si="0"/>
        <v>0.81733491643072431</v>
      </c>
      <c r="E15" s="75">
        <f t="shared" si="0"/>
        <v>0.81733491643072431</v>
      </c>
    </row>
    <row r="16" spans="1:5" x14ac:dyDescent="0.25">
      <c r="A16" s="87" t="s">
        <v>73</v>
      </c>
      <c r="B16" s="298">
        <f>'1 Výsledovka'!$B$22</f>
        <v>0.04</v>
      </c>
      <c r="C16" s="298">
        <f t="shared" ref="C16:E17" si="1">B16</f>
        <v>0.04</v>
      </c>
      <c r="D16" s="298">
        <f t="shared" si="1"/>
        <v>0.04</v>
      </c>
      <c r="E16" s="298">
        <f t="shared" si="1"/>
        <v>0.04</v>
      </c>
    </row>
    <row r="17" spans="1:5" x14ac:dyDescent="0.25">
      <c r="A17" s="77" t="s">
        <v>231</v>
      </c>
      <c r="B17" s="299">
        <f>'1 Výsledovka'!$B$23</f>
        <v>0.05</v>
      </c>
      <c r="C17" s="299">
        <f t="shared" si="1"/>
        <v>0.05</v>
      </c>
      <c r="D17" s="299">
        <f t="shared" si="1"/>
        <v>0.05</v>
      </c>
      <c r="E17" s="299">
        <f t="shared" si="1"/>
        <v>0.05</v>
      </c>
    </row>
    <row r="18" spans="1:5" x14ac:dyDescent="0.25">
      <c r="A18" s="40" t="s">
        <v>186</v>
      </c>
      <c r="B18" s="291">
        <f>B14*B16+B15*B17</f>
        <v>4.7824490794876676E-2</v>
      </c>
      <c r="C18" s="291">
        <f>C14*C16+C15*C17</f>
        <v>4.8063282252402743E-2</v>
      </c>
      <c r="D18" s="291">
        <f>D14*D16+D15*D17</f>
        <v>4.8173349164307246E-2</v>
      </c>
      <c r="E18" s="291">
        <f>E14*E16+E15*E17</f>
        <v>4.8173349164307246E-2</v>
      </c>
    </row>
    <row r="19" spans="1:5" x14ac:dyDescent="0.25">
      <c r="A19" s="157" t="s">
        <v>74</v>
      </c>
      <c r="B19" s="158">
        <f>B18*(1-B6)</f>
        <v>3.8737837543850108E-2</v>
      </c>
      <c r="C19" s="158">
        <f>C18*(1-C6)</f>
        <v>3.8931258624446227E-2</v>
      </c>
      <c r="D19" s="158">
        <f>D18*(1-D6)</f>
        <v>3.9020412823088872E-2</v>
      </c>
      <c r="E19" s="158">
        <f>E18*(1-E6)</f>
        <v>3.9020412823088872E-2</v>
      </c>
    </row>
    <row r="20" spans="1:5" ht="19.5" customHeight="1" x14ac:dyDescent="0.25">
      <c r="A20" s="286" t="s">
        <v>75</v>
      </c>
      <c r="B20" s="126"/>
      <c r="C20" s="126"/>
      <c r="D20" s="126"/>
      <c r="E20" s="126"/>
    </row>
    <row r="21" spans="1:5" x14ac:dyDescent="0.25">
      <c r="A21" s="127" t="s">
        <v>76</v>
      </c>
      <c r="B21" s="131">
        <f>B8*B9</f>
        <v>38400</v>
      </c>
      <c r="C21" s="131">
        <f>C8*C9</f>
        <v>40000</v>
      </c>
      <c r="D21" s="131">
        <f>D8*D9</f>
        <v>41600</v>
      </c>
      <c r="E21" s="131">
        <f>E8*E9</f>
        <v>42400</v>
      </c>
    </row>
    <row r="22" spans="1:5" x14ac:dyDescent="0.25">
      <c r="A22" s="127" t="s">
        <v>77</v>
      </c>
      <c r="B22" s="132">
        <f>$B$4</f>
        <v>0.15</v>
      </c>
      <c r="C22" s="132">
        <f>$B$4</f>
        <v>0.15</v>
      </c>
      <c r="D22" s="132">
        <f>$B$4</f>
        <v>0.15</v>
      </c>
      <c r="E22" s="132">
        <f>$B$4</f>
        <v>0.15</v>
      </c>
    </row>
    <row r="23" spans="1:5" ht="19.5" customHeight="1" x14ac:dyDescent="0.25">
      <c r="A23" s="286" t="s">
        <v>78</v>
      </c>
      <c r="B23" s="126"/>
      <c r="C23" s="126"/>
      <c r="D23" s="126"/>
      <c r="E23" s="126"/>
    </row>
    <row r="24" spans="1:5" x14ac:dyDescent="0.25">
      <c r="A24" s="78" t="s">
        <v>79</v>
      </c>
      <c r="B24" s="69">
        <f>B13+B21</f>
        <v>75173</v>
      </c>
      <c r="C24" s="69">
        <f>C13+C21</f>
        <v>81307</v>
      </c>
      <c r="D24" s="69">
        <f>D13+D21</f>
        <v>85396</v>
      </c>
      <c r="E24" s="69">
        <f>E13+E21</f>
        <v>86196</v>
      </c>
    </row>
    <row r="25" spans="1:5" x14ac:dyDescent="0.25">
      <c r="A25" s="78" t="s">
        <v>80</v>
      </c>
      <c r="B25" s="76">
        <f>B13/B24</f>
        <v>0.48917829539861385</v>
      </c>
      <c r="C25" s="76">
        <f>C13/C24</f>
        <v>0.50803743835094151</v>
      </c>
      <c r="D25" s="76">
        <f>D13/D24</f>
        <v>0.51285774509344695</v>
      </c>
      <c r="E25" s="76">
        <f>E13/E24</f>
        <v>0.50809782356489863</v>
      </c>
    </row>
    <row r="26" spans="1:5" x14ac:dyDescent="0.25">
      <c r="A26" s="78" t="s">
        <v>81</v>
      </c>
      <c r="B26" s="76">
        <f>B21/B24</f>
        <v>0.5108217046013861</v>
      </c>
      <c r="C26" s="76">
        <f>C21/C24</f>
        <v>0.49196256164905849</v>
      </c>
      <c r="D26" s="76">
        <f>D21/D24</f>
        <v>0.487142254906553</v>
      </c>
      <c r="E26" s="76">
        <f>E21/E24</f>
        <v>0.49190217643510142</v>
      </c>
    </row>
    <row r="27" spans="1:5" ht="19.5" customHeight="1" x14ac:dyDescent="0.25">
      <c r="A27" s="286" t="s">
        <v>82</v>
      </c>
      <c r="B27" s="126"/>
      <c r="C27" s="126"/>
      <c r="D27" s="126"/>
      <c r="E27" s="126"/>
    </row>
    <row r="28" spans="1:5" x14ac:dyDescent="0.25">
      <c r="A28" s="157" t="s">
        <v>82</v>
      </c>
      <c r="B28" s="163">
        <f>B19*B25+B22*B26</f>
        <v>9.557296502733692E-2</v>
      </c>
      <c r="C28" s="163">
        <f>C19*C25+C22*C26</f>
        <v>9.3572921150700442E-2</v>
      </c>
      <c r="D28" s="163">
        <f>D19*D25+D22*D26</f>
        <v>9.3083259169047722E-2</v>
      </c>
      <c r="E28" s="163">
        <f>E19*E25+E22*E26</f>
        <v>9.361151329528053E-2</v>
      </c>
    </row>
  </sheetData>
  <phoneticPr fontId="0" type="noConversion"/>
  <hyperlinks>
    <hyperlink ref="E1" location="Obsah!A1" display="Skok na obsah" xr:uid="{00000000-0004-0000-0800-000000000000}"/>
  </hyperlinks>
  <printOptions gridLinesSet="0"/>
  <pageMargins left="0.78740157480314965" right="0.78740157480314965" top="0.98425196850393704" bottom="0.78740157480314965" header="0.51181102362204722" footer="0.51181102362204722"/>
  <pageSetup paperSize="9" orientation="portrait" r:id="rId1"/>
  <headerFooter alignWithMargins="0">
    <oddHeader>&amp;L&amp;"Arial CE,Obyčejné"&amp;10Mařík, M. a kol.: Metody oceňování podniku pro pokročilé
Ekopress 2023&amp;R&amp;"Arial CE,Obyčejné"&amp;10Příklad: Vzájemná shoda metod DCF a EVA</oddHeader>
    <oddFooter>&amp;C&amp;"Arial CE,Obyčejné"&amp;10&amp;A - str. &amp;P&amp;R&amp;"Arial CE,Obyčejné"&amp;10©  Miloš Mařík, Pavla Maříková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33</vt:i4>
      </vt:variant>
      <vt:variant>
        <vt:lpstr>Pojmenované oblasti</vt:lpstr>
      </vt:variant>
      <vt:variant>
        <vt:i4>1</vt:i4>
      </vt:variant>
    </vt:vector>
  </HeadingPairs>
  <TitlesOfParts>
    <vt:vector size="34" baseType="lpstr">
      <vt:lpstr>Úvod</vt:lpstr>
      <vt:lpstr>Obsah</vt:lpstr>
      <vt:lpstr>1 Aktiva</vt:lpstr>
      <vt:lpstr>1 Pasiva</vt:lpstr>
      <vt:lpstr>1 Výsledovka</vt:lpstr>
      <vt:lpstr>1 Cash flow</vt:lpstr>
      <vt:lpstr>1 Informace</vt:lpstr>
      <vt:lpstr>1 Společné úpravy - NOA</vt:lpstr>
      <vt:lpstr>1 Společné úpravy - WACC</vt:lpstr>
      <vt:lpstr>1 Společné úpravy - Hodnota</vt:lpstr>
      <vt:lpstr>2 Rezervy - Pasiva</vt:lpstr>
      <vt:lpstr>2 Rezervy - Výsledovka</vt:lpstr>
      <vt:lpstr>2 Rezervy - Cash flow</vt:lpstr>
      <vt:lpstr>2 Rezervy - NOA</vt:lpstr>
      <vt:lpstr>2 Rezervy - Hodnota</vt:lpstr>
      <vt:lpstr>3 Marketing - příprava</vt:lpstr>
      <vt:lpstr>3 Marketing - NOA</vt:lpstr>
      <vt:lpstr>3 Marketing - Hodnota</vt:lpstr>
      <vt:lpstr>4 Goodwill - příprava</vt:lpstr>
      <vt:lpstr>4 Goodwill - Aktiva</vt:lpstr>
      <vt:lpstr>4 Goodwill - NOA</vt:lpstr>
      <vt:lpstr>4 Goodwill - Hodnota</vt:lpstr>
      <vt:lpstr>5 Leasing - WACC před leas. </vt:lpstr>
      <vt:lpstr>5 Leasing - Hodnota před leas.</vt:lpstr>
      <vt:lpstr>5 Leasing - H equity před leas.</vt:lpstr>
      <vt:lpstr>5 Leasing - příprava</vt:lpstr>
      <vt:lpstr>5 Leasing - NOA</vt:lpstr>
      <vt:lpstr>5 Leasing - WACC</vt:lpstr>
      <vt:lpstr>5 Leasing - Hodnota entity</vt:lpstr>
      <vt:lpstr>6 Hodnota equity a APV</vt:lpstr>
      <vt:lpstr>7 Růst - WACC </vt:lpstr>
      <vt:lpstr>7 Růst - Hodnota entity</vt:lpstr>
      <vt:lpstr>7 Růst - Hodnota equity a APV</vt:lpstr>
      <vt:lpstr>rok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Vzájemná shoda metod DCF a EVA</dc:title>
  <dc:subject>Metody oceňování podniku pro pokročilé</dc:subject>
  <dc:creator>Mařík Miloš, Maříková Pavla</dc:creator>
  <cp:lastModifiedBy>Pavla Maříková</cp:lastModifiedBy>
  <cp:lastPrinted>2023-08-09T15:55:28Z</cp:lastPrinted>
  <dcterms:created xsi:type="dcterms:W3CDTF">2002-10-01T09:01:14Z</dcterms:created>
  <dcterms:modified xsi:type="dcterms:W3CDTF">2023-08-09T15:55:42Z</dcterms:modified>
</cp:coreProperties>
</file>