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498EA7B1-8597-4D48-A231-0EF9E4EFB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" sheetId="30" r:id="rId1"/>
    <sheet name="1-MM, cílová struktura" sheetId="19" r:id="rId2"/>
    <sheet name="2-MM, stabilita, iterace" sheetId="18" r:id="rId3"/>
    <sheet name="3 -MM, růst, iterace" sheetId="2" r:id="rId4"/>
    <sheet name="4-Modif. funce" sheetId="7" r:id="rId5"/>
    <sheet name="5-Nejisté DS" sheetId="22" r:id="rId6"/>
    <sheet name="6-Nejisté DS od 2. roku" sheetId="23" r:id="rId7"/>
    <sheet name="7,8-Jisté DS+Miles-Ezzel " sheetId="24" r:id="rId8"/>
    <sheet name="9-Univerzální reagenční funkce" sheetId="33" r:id="rId9"/>
    <sheet name="10a-Beta - stabilní CK" sheetId="34" r:id="rId10"/>
    <sheet name="10b-Beta - stabilní CK, nCK=rf" sheetId="36" r:id="rId11"/>
    <sheet name="11-Beta - stabilní CK, nCK&gt;rf" sheetId="35" r:id="rId12"/>
    <sheet name="12-Beta - proměnlivý CK, nCK&gt;rf" sheetId="37" r:id="rId13"/>
    <sheet name="13-Beta - DS diskontovány nVKn" sheetId="38" r:id="rId14"/>
    <sheet name="14-Beta - univerzální funkce" sheetId="39" r:id="rId15"/>
  </sheets>
  <calcPr calcId="191029" iterate="1"/>
</workbook>
</file>

<file path=xl/calcChain.xml><?xml version="1.0" encoding="utf-8"?>
<calcChain xmlns="http://schemas.openxmlformats.org/spreadsheetml/2006/main">
  <c r="H9" i="39" l="1"/>
  <c r="H8" i="39"/>
  <c r="H10" i="39" s="1"/>
  <c r="D44" i="39" s="1"/>
  <c r="H7" i="39"/>
  <c r="I23" i="39" s="1"/>
  <c r="H9" i="38"/>
  <c r="H8" i="38"/>
  <c r="H7" i="38"/>
  <c r="H10" i="38" s="1"/>
  <c r="H9" i="37"/>
  <c r="H8" i="37"/>
  <c r="H7" i="37"/>
  <c r="H9" i="35"/>
  <c r="H8" i="35"/>
  <c r="H7" i="35"/>
  <c r="H8" i="36"/>
  <c r="H9" i="36"/>
  <c r="H7" i="36"/>
  <c r="H6" i="36"/>
  <c r="H11" i="39"/>
  <c r="H11" i="38"/>
  <c r="H11" i="37"/>
  <c r="H7" i="33"/>
  <c r="H6" i="33"/>
  <c r="H7" i="24"/>
  <c r="H6" i="24"/>
  <c r="H7" i="23"/>
  <c r="H6" i="23"/>
  <c r="H7" i="22"/>
  <c r="H6" i="22"/>
  <c r="C49" i="39"/>
  <c r="D49" i="39"/>
  <c r="E49" i="39"/>
  <c r="B49" i="39"/>
  <c r="C48" i="39"/>
  <c r="B47" i="39"/>
  <c r="J34" i="39"/>
  <c r="D17" i="39"/>
  <c r="C17" i="39"/>
  <c r="E10" i="39"/>
  <c r="D10" i="39"/>
  <c r="D13" i="39" s="1"/>
  <c r="C10" i="39"/>
  <c r="B10" i="39"/>
  <c r="E9" i="39"/>
  <c r="D9" i="39"/>
  <c r="C9" i="39"/>
  <c r="B9" i="39"/>
  <c r="B13" i="39" s="1"/>
  <c r="E8" i="39"/>
  <c r="E47" i="39" s="1"/>
  <c r="D8" i="39"/>
  <c r="D47" i="39" s="1"/>
  <c r="C8" i="39"/>
  <c r="C47" i="39" s="1"/>
  <c r="B8" i="39"/>
  <c r="H29" i="39" s="1"/>
  <c r="E6" i="39"/>
  <c r="D6" i="39"/>
  <c r="D7" i="39" s="1"/>
  <c r="C6" i="39"/>
  <c r="B6" i="39"/>
  <c r="E5" i="39"/>
  <c r="E34" i="39" s="1"/>
  <c r="D5" i="39"/>
  <c r="D34" i="39" s="1"/>
  <c r="C5" i="39"/>
  <c r="C34" i="39" s="1"/>
  <c r="B5" i="39"/>
  <c r="H34" i="39" s="1"/>
  <c r="H3" i="39"/>
  <c r="I3" i="39" s="1"/>
  <c r="J3" i="39" s="1"/>
  <c r="B3" i="39"/>
  <c r="C3" i="39" s="1"/>
  <c r="D3" i="39" s="1"/>
  <c r="E10" i="38"/>
  <c r="E13" i="38" s="1"/>
  <c r="D10" i="38"/>
  <c r="C10" i="38"/>
  <c r="B10" i="38"/>
  <c r="B13" i="38" s="1"/>
  <c r="E9" i="38"/>
  <c r="D9" i="38"/>
  <c r="C9" i="38"/>
  <c r="C13" i="38" s="1"/>
  <c r="B9" i="38"/>
  <c r="E8" i="38"/>
  <c r="E29" i="38" s="1"/>
  <c r="D8" i="38"/>
  <c r="C8" i="38"/>
  <c r="I22" i="38" s="1"/>
  <c r="B8" i="38"/>
  <c r="E6" i="38"/>
  <c r="D6" i="38"/>
  <c r="C6" i="38"/>
  <c r="B6" i="38"/>
  <c r="E5" i="38"/>
  <c r="E52" i="38" s="1"/>
  <c r="D5" i="38"/>
  <c r="J34" i="38" s="1"/>
  <c r="C5" i="38"/>
  <c r="C34" i="38" s="1"/>
  <c r="B5" i="38"/>
  <c r="H3" i="38"/>
  <c r="I3" i="38" s="1"/>
  <c r="J3" i="38" s="1"/>
  <c r="B3" i="38"/>
  <c r="C3" i="38" s="1"/>
  <c r="D3" i="38" s="1"/>
  <c r="C10" i="37"/>
  <c r="D10" i="37"/>
  <c r="E10" i="37"/>
  <c r="B10" i="37"/>
  <c r="C8" i="37"/>
  <c r="D8" i="37"/>
  <c r="E8" i="37"/>
  <c r="C9" i="37"/>
  <c r="D9" i="37"/>
  <c r="E9" i="37"/>
  <c r="B9" i="37"/>
  <c r="B8" i="37"/>
  <c r="C5" i="37"/>
  <c r="C34" i="37" s="1"/>
  <c r="D5" i="37"/>
  <c r="E5" i="37"/>
  <c r="E7" i="37" s="1"/>
  <c r="E14" i="37" s="1"/>
  <c r="B5" i="37"/>
  <c r="C44" i="37"/>
  <c r="H10" i="37"/>
  <c r="D7" i="37"/>
  <c r="E6" i="37"/>
  <c r="D6" i="37"/>
  <c r="C6" i="37"/>
  <c r="B6" i="37"/>
  <c r="D51" i="37"/>
  <c r="C7" i="37"/>
  <c r="B7" i="37"/>
  <c r="H3" i="37"/>
  <c r="I3" i="37" s="1"/>
  <c r="J3" i="37" s="1"/>
  <c r="C3" i="37"/>
  <c r="D3" i="37" s="1"/>
  <c r="B3" i="37"/>
  <c r="C51" i="36"/>
  <c r="I34" i="36"/>
  <c r="C34" i="36"/>
  <c r="H11" i="36"/>
  <c r="H10" i="36"/>
  <c r="E44" i="36" s="1"/>
  <c r="C10" i="36"/>
  <c r="C13" i="36" s="1"/>
  <c r="E9" i="36"/>
  <c r="D9" i="36"/>
  <c r="C9" i="36"/>
  <c r="D7" i="36"/>
  <c r="E8" i="36"/>
  <c r="E6" i="36"/>
  <c r="D6" i="36"/>
  <c r="C6" i="36"/>
  <c r="B6" i="36"/>
  <c r="H5" i="36"/>
  <c r="B9" i="36" s="1"/>
  <c r="B13" i="36" s="1"/>
  <c r="E5" i="36"/>
  <c r="E17" i="36" s="1"/>
  <c r="D5" i="36"/>
  <c r="C17" i="36" s="1"/>
  <c r="C5" i="36"/>
  <c r="C7" i="36" s="1"/>
  <c r="B14" i="36" s="1"/>
  <c r="B5" i="36"/>
  <c r="B7" i="36" s="1"/>
  <c r="H3" i="36"/>
  <c r="I3" i="36" s="1"/>
  <c r="J3" i="36" s="1"/>
  <c r="D3" i="36"/>
  <c r="C3" i="36"/>
  <c r="B3" i="36"/>
  <c r="H34" i="34"/>
  <c r="E51" i="35"/>
  <c r="K34" i="35"/>
  <c r="E34" i="35"/>
  <c r="C34" i="35"/>
  <c r="H11" i="35"/>
  <c r="H10" i="35"/>
  <c r="C44" i="35" s="1"/>
  <c r="C10" i="35"/>
  <c r="C13" i="35" s="1"/>
  <c r="E9" i="35"/>
  <c r="D9" i="35"/>
  <c r="C9" i="35"/>
  <c r="B9" i="35"/>
  <c r="B13" i="35" s="1"/>
  <c r="B8" i="35"/>
  <c r="B29" i="35" s="1"/>
  <c r="D7" i="35"/>
  <c r="H6" i="35"/>
  <c r="E8" i="35" s="1"/>
  <c r="E6" i="35"/>
  <c r="E7" i="35" s="1"/>
  <c r="D6" i="35"/>
  <c r="C6" i="35"/>
  <c r="B6" i="35"/>
  <c r="H5" i="35"/>
  <c r="E5" i="35"/>
  <c r="E17" i="35" s="1"/>
  <c r="D5" i="35"/>
  <c r="D17" i="35" s="1"/>
  <c r="C5" i="35"/>
  <c r="B17" i="35" s="1"/>
  <c r="B5" i="35"/>
  <c r="B7" i="35" s="1"/>
  <c r="H3" i="35"/>
  <c r="I3" i="35" s="1"/>
  <c r="J3" i="35" s="1"/>
  <c r="B3" i="35"/>
  <c r="C3" i="35" s="1"/>
  <c r="D3" i="35" s="1"/>
  <c r="H3" i="34"/>
  <c r="I3" i="34" s="1"/>
  <c r="J3" i="34" s="1"/>
  <c r="H10" i="34"/>
  <c r="D44" i="34" s="1"/>
  <c r="H11" i="34"/>
  <c r="C10" i="34"/>
  <c r="D10" i="34" s="1"/>
  <c r="H6" i="34"/>
  <c r="C8" i="34" s="1"/>
  <c r="C47" i="34" s="1"/>
  <c r="H5" i="34"/>
  <c r="E9" i="34" s="1"/>
  <c r="E6" i="34"/>
  <c r="D6" i="34"/>
  <c r="C6" i="34"/>
  <c r="B6" i="34"/>
  <c r="E5" i="34"/>
  <c r="K34" i="34" s="1"/>
  <c r="D5" i="34"/>
  <c r="J34" i="34" s="1"/>
  <c r="C5" i="34"/>
  <c r="C51" i="34" s="1"/>
  <c r="B5" i="34"/>
  <c r="B3" i="34"/>
  <c r="C3" i="34" s="1"/>
  <c r="D3" i="34" s="1"/>
  <c r="E46" i="33"/>
  <c r="D46" i="33"/>
  <c r="C46" i="33"/>
  <c r="B46" i="33"/>
  <c r="B10" i="33"/>
  <c r="E9" i="33"/>
  <c r="D9" i="33"/>
  <c r="C9" i="33"/>
  <c r="B9" i="33"/>
  <c r="E8" i="33"/>
  <c r="D8" i="33"/>
  <c r="C8" i="33"/>
  <c r="B8" i="33"/>
  <c r="E6" i="33"/>
  <c r="D6" i="33"/>
  <c r="C6" i="33"/>
  <c r="B6" i="33"/>
  <c r="E5" i="33"/>
  <c r="D5" i="33"/>
  <c r="D51" i="33" s="1"/>
  <c r="C5" i="33"/>
  <c r="B17" i="33" s="1"/>
  <c r="B5" i="33"/>
  <c r="B51" i="33" s="1"/>
  <c r="B3" i="33"/>
  <c r="C3" i="33" s="1"/>
  <c r="D3" i="33" s="1"/>
  <c r="B10" i="24"/>
  <c r="E9" i="24"/>
  <c r="D9" i="24"/>
  <c r="C9" i="24"/>
  <c r="B9" i="24"/>
  <c r="E8" i="24"/>
  <c r="D8" i="24"/>
  <c r="D31" i="24" s="1"/>
  <c r="C8" i="24"/>
  <c r="B8" i="24"/>
  <c r="B31" i="24" s="1"/>
  <c r="E6" i="24"/>
  <c r="D6" i="24"/>
  <c r="C6" i="24"/>
  <c r="B6" i="24"/>
  <c r="E5" i="24"/>
  <c r="E7" i="24" s="1"/>
  <c r="E14" i="24" s="1"/>
  <c r="D5" i="24"/>
  <c r="C5" i="24"/>
  <c r="B5" i="24"/>
  <c r="B3" i="24"/>
  <c r="C3" i="24" s="1"/>
  <c r="D3" i="24" s="1"/>
  <c r="F23" i="24" s="1"/>
  <c r="E23" i="23"/>
  <c r="D23" i="23"/>
  <c r="C23" i="23"/>
  <c r="B10" i="23"/>
  <c r="E9" i="23"/>
  <c r="D9" i="23"/>
  <c r="C9" i="23"/>
  <c r="B9" i="23"/>
  <c r="E8" i="23"/>
  <c r="E22" i="23" s="1"/>
  <c r="D8" i="23"/>
  <c r="D22" i="23" s="1"/>
  <c r="C8" i="23"/>
  <c r="C22" i="23" s="1"/>
  <c r="B8" i="23"/>
  <c r="B22" i="23" s="1"/>
  <c r="B23" i="23" s="1"/>
  <c r="E6" i="23"/>
  <c r="D6" i="23"/>
  <c r="C6" i="23"/>
  <c r="B6" i="23"/>
  <c r="E5" i="23"/>
  <c r="E7" i="23" s="1"/>
  <c r="E14" i="23" s="1"/>
  <c r="D5" i="23"/>
  <c r="C5" i="23"/>
  <c r="B5" i="23"/>
  <c r="B3" i="23"/>
  <c r="C3" i="23" s="1"/>
  <c r="D3" i="23" s="1"/>
  <c r="B10" i="22"/>
  <c r="E9" i="22"/>
  <c r="D9" i="22"/>
  <c r="C9" i="22"/>
  <c r="B9" i="22"/>
  <c r="E8" i="22"/>
  <c r="E22" i="22" s="1"/>
  <c r="D8" i="22"/>
  <c r="D22" i="22" s="1"/>
  <c r="C8" i="22"/>
  <c r="C22" i="22" s="1"/>
  <c r="B8" i="22"/>
  <c r="B22" i="22" s="1"/>
  <c r="E6" i="22"/>
  <c r="D6" i="22"/>
  <c r="C6" i="22"/>
  <c r="B6" i="22"/>
  <c r="E5" i="22"/>
  <c r="D5" i="22"/>
  <c r="D7" i="22" s="1"/>
  <c r="C5" i="22"/>
  <c r="C7" i="22" s="1"/>
  <c r="B5" i="22"/>
  <c r="B7" i="22" s="1"/>
  <c r="B3" i="22"/>
  <c r="C3" i="22" s="1"/>
  <c r="D3" i="22" s="1"/>
  <c r="C46" i="2"/>
  <c r="D46" i="2"/>
  <c r="E46" i="2"/>
  <c r="B46" i="2"/>
  <c r="H7" i="7"/>
  <c r="B10" i="7"/>
  <c r="E9" i="7"/>
  <c r="D9" i="7"/>
  <c r="C9" i="7"/>
  <c r="B9" i="7"/>
  <c r="E8" i="7"/>
  <c r="E31" i="7" s="1"/>
  <c r="D8" i="7"/>
  <c r="C8" i="7"/>
  <c r="B8" i="7"/>
  <c r="B22" i="7" s="1"/>
  <c r="B23" i="7" s="1"/>
  <c r="C5" i="7"/>
  <c r="C51" i="7" s="1"/>
  <c r="D5" i="7"/>
  <c r="D51" i="7" s="1"/>
  <c r="E5" i="7"/>
  <c r="E51" i="7" s="1"/>
  <c r="C6" i="7"/>
  <c r="D6" i="7"/>
  <c r="E6" i="7"/>
  <c r="B6" i="7"/>
  <c r="B5" i="7"/>
  <c r="B51" i="7" s="1"/>
  <c r="B3" i="7"/>
  <c r="C3" i="7" s="1"/>
  <c r="D3" i="7" s="1"/>
  <c r="C24" i="2"/>
  <c r="D24" i="2"/>
  <c r="E24" i="2"/>
  <c r="B24" i="2"/>
  <c r="B3" i="2"/>
  <c r="C3" i="2" s="1"/>
  <c r="D3" i="2" s="1"/>
  <c r="H8" i="18"/>
  <c r="H6" i="2" s="1"/>
  <c r="H6" i="7" s="1"/>
  <c r="D23" i="22" s="1"/>
  <c r="H6" i="18"/>
  <c r="H10" i="18"/>
  <c r="H7" i="18"/>
  <c r="C5" i="18"/>
  <c r="C29" i="18" s="1"/>
  <c r="D5" i="18"/>
  <c r="D29" i="18" s="1"/>
  <c r="E5" i="18"/>
  <c r="E29" i="18" s="1"/>
  <c r="C6" i="18"/>
  <c r="D6" i="18"/>
  <c r="E6" i="18"/>
  <c r="B6" i="18"/>
  <c r="B5" i="18"/>
  <c r="B29" i="18" s="1"/>
  <c r="B3" i="18"/>
  <c r="C3" i="18" s="1"/>
  <c r="D3" i="18" s="1"/>
  <c r="J22" i="35" l="1"/>
  <c r="K23" i="39"/>
  <c r="H23" i="39"/>
  <c r="J23" i="39"/>
  <c r="E44" i="38"/>
  <c r="D49" i="38"/>
  <c r="E49" i="38"/>
  <c r="E50" i="38" s="1"/>
  <c r="D50" i="38" s="1"/>
  <c r="C50" i="38" s="1"/>
  <c r="B50" i="38" s="1"/>
  <c r="B49" i="38"/>
  <c r="C49" i="38"/>
  <c r="H22" i="35"/>
  <c r="K22" i="35"/>
  <c r="C44" i="36"/>
  <c r="B16" i="39"/>
  <c r="E44" i="39"/>
  <c r="H22" i="39"/>
  <c r="B52" i="39"/>
  <c r="D48" i="39"/>
  <c r="B29" i="39"/>
  <c r="B7" i="39"/>
  <c r="B34" i="39"/>
  <c r="C13" i="39"/>
  <c r="I34" i="39"/>
  <c r="E7" i="39"/>
  <c r="D14" i="39" s="1"/>
  <c r="D15" i="39" s="1"/>
  <c r="E13" i="39"/>
  <c r="B44" i="39"/>
  <c r="B48" i="39"/>
  <c r="C44" i="39"/>
  <c r="C14" i="39"/>
  <c r="C15" i="39" s="1"/>
  <c r="E14" i="39"/>
  <c r="E15" i="39"/>
  <c r="B17" i="39"/>
  <c r="E17" i="39"/>
  <c r="K34" i="39"/>
  <c r="E48" i="39"/>
  <c r="E50" i="39" s="1"/>
  <c r="D50" i="39" s="1"/>
  <c r="C50" i="39" s="1"/>
  <c r="C7" i="39"/>
  <c r="C29" i="39"/>
  <c r="C52" i="39"/>
  <c r="D29" i="39"/>
  <c r="D52" i="39"/>
  <c r="E29" i="39"/>
  <c r="E52" i="39"/>
  <c r="C16" i="39"/>
  <c r="I22" i="39"/>
  <c r="I29" i="39"/>
  <c r="D16" i="39"/>
  <c r="J22" i="39"/>
  <c r="J29" i="39"/>
  <c r="E16" i="39"/>
  <c r="K22" i="39"/>
  <c r="K29" i="39"/>
  <c r="B29" i="38"/>
  <c r="C29" i="38"/>
  <c r="I29" i="38"/>
  <c r="D34" i="38"/>
  <c r="E34" i="38"/>
  <c r="D7" i="38"/>
  <c r="D13" i="38"/>
  <c r="E7" i="38"/>
  <c r="E14" i="38" s="1"/>
  <c r="E15" i="38" s="1"/>
  <c r="C44" i="38"/>
  <c r="B7" i="38"/>
  <c r="B48" i="38"/>
  <c r="D44" i="38"/>
  <c r="C7" i="38"/>
  <c r="C48" i="38"/>
  <c r="C17" i="38"/>
  <c r="D29" i="38"/>
  <c r="C16" i="38"/>
  <c r="C47" i="38"/>
  <c r="D17" i="38"/>
  <c r="D52" i="38"/>
  <c r="C14" i="38"/>
  <c r="C15" i="38" s="1"/>
  <c r="B16" i="38"/>
  <c r="H22" i="38"/>
  <c r="H29" i="38"/>
  <c r="B34" i="38"/>
  <c r="B44" i="38"/>
  <c r="B47" i="38"/>
  <c r="D16" i="38"/>
  <c r="J22" i="38"/>
  <c r="J29" i="38"/>
  <c r="D47" i="38"/>
  <c r="E16" i="38"/>
  <c r="K22" i="38"/>
  <c r="K29" i="38"/>
  <c r="E47" i="38"/>
  <c r="B17" i="38"/>
  <c r="H34" i="38"/>
  <c r="B52" i="38"/>
  <c r="I34" i="38"/>
  <c r="C52" i="38"/>
  <c r="D48" i="38"/>
  <c r="E17" i="38"/>
  <c r="K34" i="38"/>
  <c r="E48" i="38"/>
  <c r="E51" i="37"/>
  <c r="C14" i="37"/>
  <c r="B14" i="37"/>
  <c r="B47" i="37"/>
  <c r="H29" i="37"/>
  <c r="H22" i="37"/>
  <c r="E13" i="37"/>
  <c r="E15" i="37" s="1"/>
  <c r="B34" i="37"/>
  <c r="B44" i="37"/>
  <c r="D16" i="37"/>
  <c r="J22" i="37"/>
  <c r="D34" i="37"/>
  <c r="D44" i="37"/>
  <c r="D47" i="37"/>
  <c r="B13" i="37"/>
  <c r="E34" i="37"/>
  <c r="E44" i="37"/>
  <c r="C13" i="37"/>
  <c r="B17" i="37"/>
  <c r="H34" i="37"/>
  <c r="B51" i="37"/>
  <c r="J29" i="37"/>
  <c r="C17" i="37"/>
  <c r="I34" i="37"/>
  <c r="C51" i="37"/>
  <c r="D14" i="37"/>
  <c r="D17" i="37"/>
  <c r="J34" i="37"/>
  <c r="D48" i="37"/>
  <c r="E17" i="37"/>
  <c r="K34" i="37"/>
  <c r="C14" i="36"/>
  <c r="C15" i="36"/>
  <c r="B15" i="36"/>
  <c r="E29" i="36"/>
  <c r="E48" i="36"/>
  <c r="E16" i="36"/>
  <c r="E47" i="36"/>
  <c r="K29" i="36"/>
  <c r="D10" i="36"/>
  <c r="B34" i="36"/>
  <c r="B44" i="36"/>
  <c r="E7" i="36"/>
  <c r="D34" i="36"/>
  <c r="D44" i="36"/>
  <c r="B8" i="36"/>
  <c r="E34" i="36"/>
  <c r="C8" i="36"/>
  <c r="H34" i="36"/>
  <c r="B51" i="36"/>
  <c r="D8" i="36"/>
  <c r="J34" i="36"/>
  <c r="D51" i="36"/>
  <c r="K34" i="36"/>
  <c r="E51" i="36"/>
  <c r="B17" i="36"/>
  <c r="D17" i="36"/>
  <c r="E14" i="35"/>
  <c r="D14" i="35"/>
  <c r="E29" i="35"/>
  <c r="E48" i="35"/>
  <c r="E16" i="35"/>
  <c r="E47" i="35"/>
  <c r="K29" i="35"/>
  <c r="C7" i="35"/>
  <c r="B14" i="35" s="1"/>
  <c r="B15" i="35" s="1"/>
  <c r="D10" i="35"/>
  <c r="H29" i="35"/>
  <c r="B34" i="35"/>
  <c r="B44" i="35"/>
  <c r="B47" i="35"/>
  <c r="D34" i="35"/>
  <c r="D44" i="35"/>
  <c r="E44" i="35"/>
  <c r="C8" i="35"/>
  <c r="I22" i="35" s="1"/>
  <c r="B16" i="35"/>
  <c r="H34" i="35"/>
  <c r="B48" i="35"/>
  <c r="B51" i="35"/>
  <c r="D8" i="35"/>
  <c r="I34" i="35"/>
  <c r="C51" i="35"/>
  <c r="J34" i="35"/>
  <c r="D51" i="35"/>
  <c r="C17" i="35"/>
  <c r="I34" i="34"/>
  <c r="E17" i="34"/>
  <c r="D8" i="34"/>
  <c r="E8" i="34"/>
  <c r="D17" i="34"/>
  <c r="C7" i="34"/>
  <c r="C34" i="34"/>
  <c r="E34" i="34"/>
  <c r="E7" i="34"/>
  <c r="E14" i="34" s="1"/>
  <c r="C44" i="34"/>
  <c r="E44" i="34"/>
  <c r="B8" i="34"/>
  <c r="B7" i="34"/>
  <c r="D7" i="34"/>
  <c r="C14" i="34" s="1"/>
  <c r="B34" i="34"/>
  <c r="B44" i="34"/>
  <c r="E10" i="34"/>
  <c r="E13" i="34" s="1"/>
  <c r="D34" i="34"/>
  <c r="E47" i="34"/>
  <c r="B51" i="34"/>
  <c r="D51" i="34"/>
  <c r="E51" i="34"/>
  <c r="B9" i="34"/>
  <c r="B13" i="34" s="1"/>
  <c r="B17" i="34"/>
  <c r="C9" i="34"/>
  <c r="I29" i="34" s="1"/>
  <c r="C17" i="34"/>
  <c r="D9" i="34"/>
  <c r="E7" i="22"/>
  <c r="E14" i="22" s="1"/>
  <c r="C31" i="24"/>
  <c r="E31" i="24"/>
  <c r="B7" i="23"/>
  <c r="B7" i="24"/>
  <c r="D17" i="33"/>
  <c r="C31" i="7"/>
  <c r="C7" i="23"/>
  <c r="C7" i="24"/>
  <c r="D31" i="7"/>
  <c r="D7" i="23"/>
  <c r="D7" i="24"/>
  <c r="B21" i="7"/>
  <c r="B24" i="7" s="1"/>
  <c r="B51" i="22"/>
  <c r="D51" i="22"/>
  <c r="B51" i="23"/>
  <c r="D51" i="23"/>
  <c r="C51" i="24"/>
  <c r="E51" i="24"/>
  <c r="D21" i="7"/>
  <c r="D22" i="7"/>
  <c r="D23" i="7" s="1"/>
  <c r="C51" i="22"/>
  <c r="E51" i="22"/>
  <c r="C51" i="23"/>
  <c r="E51" i="23"/>
  <c r="B51" i="24"/>
  <c r="D51" i="24"/>
  <c r="B13" i="33"/>
  <c r="C7" i="33"/>
  <c r="E7" i="33"/>
  <c r="E14" i="33" s="1"/>
  <c r="C16" i="33"/>
  <c r="E16" i="33"/>
  <c r="C17" i="33"/>
  <c r="E17" i="33"/>
  <c r="C21" i="33"/>
  <c r="E21" i="33"/>
  <c r="C22" i="33"/>
  <c r="E22" i="33"/>
  <c r="C31" i="33"/>
  <c r="E31" i="33"/>
  <c r="C36" i="33"/>
  <c r="E36" i="33"/>
  <c r="C51" i="33"/>
  <c r="E51" i="33"/>
  <c r="B7" i="33"/>
  <c r="D7" i="33"/>
  <c r="B16" i="33"/>
  <c r="D16" i="33"/>
  <c r="B21" i="33"/>
  <c r="D21" i="33"/>
  <c r="B22" i="33"/>
  <c r="D22" i="33"/>
  <c r="B31" i="33"/>
  <c r="D31" i="33"/>
  <c r="B36" i="33"/>
  <c r="D36" i="33"/>
  <c r="B16" i="24"/>
  <c r="D16" i="24"/>
  <c r="B21" i="24"/>
  <c r="D21" i="24"/>
  <c r="B22" i="24"/>
  <c r="B23" i="24" s="1"/>
  <c r="D22" i="24"/>
  <c r="D23" i="24" s="1"/>
  <c r="C16" i="24"/>
  <c r="E16" i="24"/>
  <c r="C21" i="24"/>
  <c r="E21" i="24"/>
  <c r="C22" i="24"/>
  <c r="C23" i="24" s="1"/>
  <c r="E22" i="24"/>
  <c r="E23" i="24" s="1"/>
  <c r="C17" i="24"/>
  <c r="E17" i="24"/>
  <c r="B17" i="24"/>
  <c r="D17" i="24"/>
  <c r="E31" i="23"/>
  <c r="C31" i="23"/>
  <c r="B31" i="23"/>
  <c r="D31" i="23"/>
  <c r="C21" i="23"/>
  <c r="C24" i="23" s="1"/>
  <c r="E21" i="23"/>
  <c r="E24" i="23" s="1"/>
  <c r="E25" i="23" s="1"/>
  <c r="E49" i="23" s="1"/>
  <c r="B21" i="23"/>
  <c r="B24" i="23" s="1"/>
  <c r="D21" i="23"/>
  <c r="D24" i="23" s="1"/>
  <c r="E21" i="7"/>
  <c r="C21" i="7"/>
  <c r="E22" i="7"/>
  <c r="E23" i="7" s="1"/>
  <c r="C22" i="7"/>
  <c r="C23" i="7" s="1"/>
  <c r="E31" i="22"/>
  <c r="C31" i="22"/>
  <c r="B31" i="22"/>
  <c r="D31" i="22"/>
  <c r="C21" i="22"/>
  <c r="C24" i="22" s="1"/>
  <c r="E21" i="22"/>
  <c r="E24" i="22" s="1"/>
  <c r="E23" i="22"/>
  <c r="C23" i="22"/>
  <c r="B21" i="22"/>
  <c r="B24" i="22" s="1"/>
  <c r="D21" i="22"/>
  <c r="D24" i="22" s="1"/>
  <c r="B23" i="22"/>
  <c r="B31" i="7"/>
  <c r="B46" i="18"/>
  <c r="D46" i="18"/>
  <c r="C46" i="18"/>
  <c r="E46" i="18"/>
  <c r="B50" i="39" l="1"/>
  <c r="B14" i="39"/>
  <c r="B15" i="39" s="1"/>
  <c r="H32" i="39" s="1"/>
  <c r="I32" i="39"/>
  <c r="C32" i="39"/>
  <c r="C18" i="39"/>
  <c r="C45" i="39"/>
  <c r="J32" i="39"/>
  <c r="D32" i="39"/>
  <c r="D18" i="39"/>
  <c r="D45" i="39"/>
  <c r="K32" i="39"/>
  <c r="E32" i="39"/>
  <c r="E18" i="39"/>
  <c r="E45" i="39"/>
  <c r="E46" i="39" s="1"/>
  <c r="B14" i="38"/>
  <c r="B15" i="38" s="1"/>
  <c r="B18" i="38" s="1"/>
  <c r="D14" i="38"/>
  <c r="D15" i="38" s="1"/>
  <c r="D45" i="38" s="1"/>
  <c r="C32" i="38"/>
  <c r="C18" i="38"/>
  <c r="C45" i="38"/>
  <c r="I32" i="38"/>
  <c r="E32" i="38"/>
  <c r="E18" i="38"/>
  <c r="E45" i="38"/>
  <c r="E46" i="38" s="1"/>
  <c r="K32" i="38"/>
  <c r="B32" i="38"/>
  <c r="C15" i="37"/>
  <c r="C32" i="37" s="1"/>
  <c r="B15" i="37"/>
  <c r="B45" i="37" s="1"/>
  <c r="E29" i="37"/>
  <c r="E48" i="37"/>
  <c r="E47" i="37"/>
  <c r="K29" i="37"/>
  <c r="K22" i="37"/>
  <c r="E16" i="37"/>
  <c r="E18" i="37" s="1"/>
  <c r="B48" i="37"/>
  <c r="B29" i="37"/>
  <c r="C29" i="37"/>
  <c r="I29" i="37"/>
  <c r="C16" i="37"/>
  <c r="C48" i="37"/>
  <c r="C47" i="37"/>
  <c r="I22" i="37"/>
  <c r="E32" i="37"/>
  <c r="E45" i="37"/>
  <c r="E46" i="37" s="1"/>
  <c r="K32" i="37"/>
  <c r="D13" i="37"/>
  <c r="D15" i="37" s="1"/>
  <c r="D29" i="37"/>
  <c r="B16" i="37"/>
  <c r="B32" i="36"/>
  <c r="B45" i="36"/>
  <c r="H32" i="36"/>
  <c r="C32" i="36"/>
  <c r="I32" i="36"/>
  <c r="C45" i="36"/>
  <c r="E14" i="36"/>
  <c r="D14" i="36"/>
  <c r="E10" i="36"/>
  <c r="E13" i="36" s="1"/>
  <c r="E15" i="36" s="1"/>
  <c r="D13" i="36"/>
  <c r="D15" i="36" s="1"/>
  <c r="D29" i="36"/>
  <c r="D48" i="36"/>
  <c r="D16" i="36"/>
  <c r="D47" i="36"/>
  <c r="J29" i="36"/>
  <c r="I29" i="36"/>
  <c r="C29" i="36"/>
  <c r="C48" i="36"/>
  <c r="C16" i="36"/>
  <c r="C18" i="36" s="1"/>
  <c r="C47" i="36"/>
  <c r="E49" i="36"/>
  <c r="B29" i="36"/>
  <c r="B48" i="36"/>
  <c r="B16" i="36"/>
  <c r="B18" i="36" s="1"/>
  <c r="B47" i="36"/>
  <c r="H29" i="36"/>
  <c r="B32" i="35"/>
  <c r="B45" i="35"/>
  <c r="H32" i="35"/>
  <c r="B18" i="35"/>
  <c r="C14" i="35"/>
  <c r="C15" i="35" s="1"/>
  <c r="I29" i="35"/>
  <c r="C29" i="35"/>
  <c r="C48" i="35"/>
  <c r="C16" i="35"/>
  <c r="C47" i="35"/>
  <c r="E10" i="35"/>
  <c r="E13" i="35" s="1"/>
  <c r="E15" i="35" s="1"/>
  <c r="D13" i="35"/>
  <c r="D15" i="35" s="1"/>
  <c r="E49" i="35"/>
  <c r="D29" i="35"/>
  <c r="D48" i="35"/>
  <c r="D16" i="35"/>
  <c r="D47" i="35"/>
  <c r="J29" i="35"/>
  <c r="B47" i="34"/>
  <c r="H29" i="34"/>
  <c r="E16" i="34"/>
  <c r="K29" i="34"/>
  <c r="D47" i="34"/>
  <c r="J29" i="34"/>
  <c r="E48" i="34"/>
  <c r="E29" i="34"/>
  <c r="E15" i="34"/>
  <c r="D14" i="34"/>
  <c r="B29" i="34"/>
  <c r="D16" i="34"/>
  <c r="D29" i="34"/>
  <c r="D48" i="34"/>
  <c r="D13" i="34"/>
  <c r="B14" i="34"/>
  <c r="B15" i="34" s="1"/>
  <c r="H32" i="34" s="1"/>
  <c r="E49" i="34"/>
  <c r="B16" i="34"/>
  <c r="C48" i="34"/>
  <c r="C29" i="34"/>
  <c r="C16" i="34"/>
  <c r="C13" i="34"/>
  <c r="C15" i="34" s="1"/>
  <c r="I32" i="34" s="1"/>
  <c r="B48" i="34"/>
  <c r="D24" i="7"/>
  <c r="B24" i="33"/>
  <c r="C24" i="33"/>
  <c r="B14" i="33"/>
  <c r="B15" i="33" s="1"/>
  <c r="C14" i="33"/>
  <c r="D24" i="33"/>
  <c r="E24" i="33"/>
  <c r="E25" i="33" s="1"/>
  <c r="D14" i="33"/>
  <c r="C24" i="24"/>
  <c r="B24" i="24"/>
  <c r="E24" i="24"/>
  <c r="F24" i="24" s="1"/>
  <c r="F25" i="24" s="1"/>
  <c r="E25" i="24" s="1"/>
  <c r="D24" i="24"/>
  <c r="D25" i="23"/>
  <c r="E24" i="7"/>
  <c r="E25" i="7" s="1"/>
  <c r="C24" i="7"/>
  <c r="E25" i="22"/>
  <c r="E49" i="22" s="1"/>
  <c r="B32" i="39" l="1"/>
  <c r="B18" i="39"/>
  <c r="H39" i="39" s="1"/>
  <c r="B45" i="39"/>
  <c r="E39" i="39"/>
  <c r="K39" i="39"/>
  <c r="D46" i="39"/>
  <c r="E51" i="39"/>
  <c r="E53" i="39" s="1"/>
  <c r="I39" i="39"/>
  <c r="C39" i="39"/>
  <c r="D39" i="39"/>
  <c r="J39" i="39"/>
  <c r="D18" i="38"/>
  <c r="H32" i="38"/>
  <c r="D32" i="38"/>
  <c r="J32" i="38"/>
  <c r="B45" i="38"/>
  <c r="C39" i="38"/>
  <c r="I39" i="38"/>
  <c r="H39" i="38"/>
  <c r="B39" i="38"/>
  <c r="K39" i="38"/>
  <c r="E39" i="38"/>
  <c r="D46" i="38"/>
  <c r="E51" i="38"/>
  <c r="E53" i="38" s="1"/>
  <c r="J39" i="38"/>
  <c r="D39" i="38"/>
  <c r="C18" i="37"/>
  <c r="I39" i="37" s="1"/>
  <c r="B18" i="37"/>
  <c r="B39" i="37" s="1"/>
  <c r="C45" i="37"/>
  <c r="I32" i="37"/>
  <c r="B32" i="37"/>
  <c r="H32" i="37"/>
  <c r="K39" i="37"/>
  <c r="E39" i="37"/>
  <c r="D32" i="37"/>
  <c r="D18" i="37"/>
  <c r="D45" i="37"/>
  <c r="D46" i="37" s="1"/>
  <c r="J32" i="37"/>
  <c r="E49" i="37"/>
  <c r="D49" i="37" s="1"/>
  <c r="C49" i="37" s="1"/>
  <c r="B49" i="37" s="1"/>
  <c r="H39" i="36"/>
  <c r="B39" i="36"/>
  <c r="E32" i="36"/>
  <c r="E45" i="36"/>
  <c r="E46" i="36" s="1"/>
  <c r="K32" i="36"/>
  <c r="E18" i="36"/>
  <c r="D32" i="36"/>
  <c r="D45" i="36"/>
  <c r="J32" i="36"/>
  <c r="D18" i="36"/>
  <c r="D49" i="36"/>
  <c r="C49" i="36" s="1"/>
  <c r="B49" i="36" s="1"/>
  <c r="C39" i="36"/>
  <c r="I39" i="36"/>
  <c r="D49" i="35"/>
  <c r="C49" i="35" s="1"/>
  <c r="B49" i="35" s="1"/>
  <c r="E32" i="35"/>
  <c r="E45" i="35"/>
  <c r="E46" i="35" s="1"/>
  <c r="K32" i="35"/>
  <c r="E18" i="35"/>
  <c r="C18" i="35"/>
  <c r="C32" i="35"/>
  <c r="C45" i="35"/>
  <c r="I32" i="35"/>
  <c r="H39" i="35"/>
  <c r="B39" i="35"/>
  <c r="D32" i="35"/>
  <c r="D45" i="35"/>
  <c r="J32" i="35"/>
  <c r="D18" i="35"/>
  <c r="E45" i="34"/>
  <c r="E46" i="34" s="1"/>
  <c r="E50" i="34" s="1"/>
  <c r="E52" i="34" s="1"/>
  <c r="K32" i="34"/>
  <c r="D15" i="34"/>
  <c r="J32" i="34" s="1"/>
  <c r="E18" i="34"/>
  <c r="E32" i="34"/>
  <c r="D49" i="34"/>
  <c r="C49" i="34" s="1"/>
  <c r="B49" i="34" s="1"/>
  <c r="B45" i="34"/>
  <c r="B18" i="34"/>
  <c r="B32" i="34"/>
  <c r="C18" i="34"/>
  <c r="C45" i="34"/>
  <c r="C32" i="34"/>
  <c r="D25" i="33"/>
  <c r="E49" i="33"/>
  <c r="B47" i="33"/>
  <c r="B34" i="33"/>
  <c r="B18" i="33"/>
  <c r="B41" i="33" s="1"/>
  <c r="C25" i="23"/>
  <c r="D49" i="23"/>
  <c r="D25" i="7"/>
  <c r="E49" i="7"/>
  <c r="D25" i="22"/>
  <c r="D49" i="22" s="1"/>
  <c r="B39" i="39" l="1"/>
  <c r="C46" i="39"/>
  <c r="D51" i="39"/>
  <c r="D53" i="39" s="1"/>
  <c r="C46" i="38"/>
  <c r="D51" i="38"/>
  <c r="D53" i="38" s="1"/>
  <c r="C39" i="37"/>
  <c r="H39" i="37"/>
  <c r="E50" i="37"/>
  <c r="E52" i="37" s="1"/>
  <c r="D50" i="37"/>
  <c r="D52" i="37" s="1"/>
  <c r="C46" i="37"/>
  <c r="J39" i="37"/>
  <c r="D39" i="37"/>
  <c r="J39" i="36"/>
  <c r="D39" i="36"/>
  <c r="D46" i="36"/>
  <c r="E50" i="36"/>
  <c r="E52" i="36" s="1"/>
  <c r="K39" i="36"/>
  <c r="E39" i="36"/>
  <c r="C39" i="35"/>
  <c r="I39" i="35"/>
  <c r="J39" i="35"/>
  <c r="D39" i="35"/>
  <c r="K39" i="35"/>
  <c r="E39" i="35"/>
  <c r="D46" i="35"/>
  <c r="E50" i="35"/>
  <c r="E52" i="35" s="1"/>
  <c r="B39" i="34"/>
  <c r="H39" i="34"/>
  <c r="E39" i="34"/>
  <c r="K39" i="34"/>
  <c r="C39" i="34"/>
  <c r="I39" i="34"/>
  <c r="D45" i="34"/>
  <c r="D46" i="34" s="1"/>
  <c r="C46" i="34" s="1"/>
  <c r="D18" i="34"/>
  <c r="D32" i="34"/>
  <c r="D49" i="33"/>
  <c r="C25" i="33"/>
  <c r="B25" i="23"/>
  <c r="B49" i="23" s="1"/>
  <c r="C49" i="23"/>
  <c r="C25" i="7"/>
  <c r="D49" i="7"/>
  <c r="C25" i="22"/>
  <c r="C49" i="22" s="1"/>
  <c r="B46" i="39" l="1"/>
  <c r="B51" i="39" s="1"/>
  <c r="B53" i="39" s="1"/>
  <c r="C51" i="39"/>
  <c r="C53" i="39" s="1"/>
  <c r="B46" i="38"/>
  <c r="B51" i="38" s="1"/>
  <c r="B53" i="38" s="1"/>
  <c r="C51" i="38"/>
  <c r="C53" i="38" s="1"/>
  <c r="B46" i="37"/>
  <c r="B50" i="37" s="1"/>
  <c r="B52" i="37" s="1"/>
  <c r="C50" i="37"/>
  <c r="C52" i="37" s="1"/>
  <c r="C46" i="36"/>
  <c r="D50" i="36"/>
  <c r="D52" i="36" s="1"/>
  <c r="D50" i="34"/>
  <c r="D52" i="34" s="1"/>
  <c r="C46" i="35"/>
  <c r="D50" i="35"/>
  <c r="D52" i="35" s="1"/>
  <c r="D39" i="34"/>
  <c r="J39" i="34"/>
  <c r="B46" i="34"/>
  <c r="B50" i="34" s="1"/>
  <c r="B52" i="34" s="1"/>
  <c r="C50" i="34"/>
  <c r="C52" i="34" s="1"/>
  <c r="B25" i="33"/>
  <c r="C49" i="33"/>
  <c r="B25" i="7"/>
  <c r="B49" i="7" s="1"/>
  <c r="C49" i="7"/>
  <c r="B25" i="22"/>
  <c r="B49" i="22" s="1"/>
  <c r="B46" i="36" l="1"/>
  <c r="B50" i="36" s="1"/>
  <c r="B52" i="36" s="1"/>
  <c r="C50" i="36"/>
  <c r="C52" i="36" s="1"/>
  <c r="B46" i="35"/>
  <c r="B50" i="35" s="1"/>
  <c r="B52" i="35" s="1"/>
  <c r="C50" i="35"/>
  <c r="C52" i="35" s="1"/>
  <c r="B49" i="33"/>
  <c r="B14" i="24" l="1"/>
  <c r="B36" i="24"/>
  <c r="C36" i="24"/>
  <c r="D36" i="24"/>
  <c r="E36" i="24"/>
  <c r="B46" i="24"/>
  <c r="C46" i="24"/>
  <c r="D46" i="24"/>
  <c r="E46" i="24"/>
  <c r="C14" i="23"/>
  <c r="B14" i="23"/>
  <c r="D14" i="23"/>
  <c r="B36" i="23"/>
  <c r="C36" i="23"/>
  <c r="D36" i="23"/>
  <c r="E36" i="23"/>
  <c r="B17" i="23"/>
  <c r="C17" i="23"/>
  <c r="D17" i="23"/>
  <c r="E17" i="23"/>
  <c r="B46" i="23"/>
  <c r="C46" i="23"/>
  <c r="D46" i="23"/>
  <c r="E46" i="23"/>
  <c r="C14" i="22"/>
  <c r="B36" i="22"/>
  <c r="C36" i="22"/>
  <c r="D36" i="22"/>
  <c r="E36" i="22"/>
  <c r="D16" i="22"/>
  <c r="B17" i="22"/>
  <c r="C17" i="22"/>
  <c r="D17" i="22"/>
  <c r="E17" i="22"/>
  <c r="B46" i="22"/>
  <c r="C46" i="22"/>
  <c r="D46" i="22"/>
  <c r="E46" i="22"/>
  <c r="D16" i="7"/>
  <c r="B13" i="7"/>
  <c r="B7" i="7"/>
  <c r="C7" i="7"/>
  <c r="B14" i="7" s="1"/>
  <c r="D7" i="7"/>
  <c r="E7" i="7"/>
  <c r="B36" i="7"/>
  <c r="C36" i="7"/>
  <c r="D36" i="7"/>
  <c r="E36" i="7"/>
  <c r="B16" i="7"/>
  <c r="B17" i="7"/>
  <c r="C17" i="7"/>
  <c r="D17" i="7"/>
  <c r="E17" i="7"/>
  <c r="B46" i="7"/>
  <c r="C46" i="7"/>
  <c r="D46" i="7"/>
  <c r="E46" i="7"/>
  <c r="C3" i="19"/>
  <c r="B7" i="2"/>
  <c r="C7" i="2"/>
  <c r="D7" i="2"/>
  <c r="E7" i="2"/>
  <c r="E14" i="2" s="1"/>
  <c r="C10" i="2"/>
  <c r="C13" i="2" s="1"/>
  <c r="B13" i="2"/>
  <c r="B29" i="2"/>
  <c r="C29" i="2"/>
  <c r="D29" i="2"/>
  <c r="E29" i="2"/>
  <c r="E39" i="2"/>
  <c r="D39" i="2"/>
  <c r="C39" i="2"/>
  <c r="B39" i="2"/>
  <c r="B43" i="2"/>
  <c r="C43" i="2"/>
  <c r="E43" i="2"/>
  <c r="E42" i="2"/>
  <c r="D43" i="2"/>
  <c r="D42" i="2"/>
  <c r="C42" i="2"/>
  <c r="B42" i="2"/>
  <c r="B16" i="2"/>
  <c r="C16" i="2"/>
  <c r="D16" i="2"/>
  <c r="E16" i="2"/>
  <c r="B17" i="2"/>
  <c r="C17" i="2"/>
  <c r="D17" i="2"/>
  <c r="E17" i="2"/>
  <c r="B7" i="18"/>
  <c r="C7" i="18"/>
  <c r="D7" i="18"/>
  <c r="E7" i="18"/>
  <c r="E14" i="18" s="1"/>
  <c r="B8" i="18"/>
  <c r="C8" i="18"/>
  <c r="D8" i="18"/>
  <c r="E8" i="18"/>
  <c r="E42" i="18" s="1"/>
  <c r="B9" i="18"/>
  <c r="C9" i="18"/>
  <c r="D9" i="18"/>
  <c r="E9" i="18"/>
  <c r="E16" i="18" s="1"/>
  <c r="C10" i="18"/>
  <c r="D10" i="18" s="1"/>
  <c r="B17" i="18"/>
  <c r="C17" i="18"/>
  <c r="D17" i="18"/>
  <c r="E17" i="18"/>
  <c r="B39" i="18"/>
  <c r="C39" i="18"/>
  <c r="D39" i="18"/>
  <c r="E39" i="18"/>
  <c r="B7" i="19"/>
  <c r="B14" i="19" s="1"/>
  <c r="C7" i="19"/>
  <c r="D7" i="19"/>
  <c r="E7" i="19"/>
  <c r="E14" i="19" s="1"/>
  <c r="B8" i="19"/>
  <c r="B42" i="19" s="1"/>
  <c r="C8" i="19"/>
  <c r="D8" i="19"/>
  <c r="D42" i="19" s="1"/>
  <c r="E8" i="19"/>
  <c r="E42" i="19" s="1"/>
  <c r="B9" i="19"/>
  <c r="B13" i="19" s="1"/>
  <c r="C9" i="19"/>
  <c r="C43" i="19" s="1"/>
  <c r="D9" i="19"/>
  <c r="E9" i="19"/>
  <c r="C10" i="19"/>
  <c r="D10" i="19" s="1"/>
  <c r="B21" i="19"/>
  <c r="B22" i="19" s="1"/>
  <c r="C21" i="19"/>
  <c r="C22" i="19" s="1"/>
  <c r="D21" i="19"/>
  <c r="D22" i="19" s="1"/>
  <c r="E21" i="19"/>
  <c r="E22" i="19" s="1"/>
  <c r="D24" i="19"/>
  <c r="B29" i="19"/>
  <c r="C29" i="19"/>
  <c r="D29" i="19"/>
  <c r="E29" i="19"/>
  <c r="B17" i="19"/>
  <c r="C17" i="19"/>
  <c r="D17" i="19"/>
  <c r="E17" i="19"/>
  <c r="B39" i="19"/>
  <c r="C39" i="19"/>
  <c r="D39" i="19"/>
  <c r="E39" i="19"/>
  <c r="C42" i="19"/>
  <c r="E43" i="19"/>
  <c r="B46" i="19"/>
  <c r="C46" i="19"/>
  <c r="D46" i="19"/>
  <c r="E46" i="19"/>
  <c r="E16" i="7"/>
  <c r="C16" i="22"/>
  <c r="C16" i="23"/>
  <c r="B24" i="19" l="1"/>
  <c r="B26" i="19" s="1"/>
  <c r="D43" i="19"/>
  <c r="D44" i="19" s="1"/>
  <c r="C44" i="19" s="1"/>
  <c r="B44" i="19" s="1"/>
  <c r="D14" i="7"/>
  <c r="E14" i="7"/>
  <c r="C25" i="19"/>
  <c r="C35" i="19" s="1"/>
  <c r="E44" i="19"/>
  <c r="B25" i="19"/>
  <c r="B35" i="19" s="1"/>
  <c r="D16" i="19"/>
  <c r="D14" i="19"/>
  <c r="B16" i="19"/>
  <c r="C10" i="33"/>
  <c r="C13" i="33" s="1"/>
  <c r="C15" i="33" s="1"/>
  <c r="C10" i="24"/>
  <c r="C13" i="24" s="1"/>
  <c r="C10" i="23"/>
  <c r="C13" i="23" s="1"/>
  <c r="C15" i="23" s="1"/>
  <c r="C34" i="23" s="1"/>
  <c r="C10" i="22"/>
  <c r="C13" i="22" s="1"/>
  <c r="C15" i="22" s="1"/>
  <c r="C34" i="22" s="1"/>
  <c r="B43" i="19"/>
  <c r="C14" i="24"/>
  <c r="D14" i="24"/>
  <c r="B14" i="22"/>
  <c r="D14" i="22"/>
  <c r="C14" i="7"/>
  <c r="D10" i="2"/>
  <c r="C10" i="7"/>
  <c r="C13" i="7" s="1"/>
  <c r="E44" i="2"/>
  <c r="D44" i="2" s="1"/>
  <c r="C44" i="2" s="1"/>
  <c r="B44" i="2" s="1"/>
  <c r="D43" i="18"/>
  <c r="B16" i="18"/>
  <c r="D14" i="18"/>
  <c r="D14" i="2"/>
  <c r="B14" i="2"/>
  <c r="B15" i="2" s="1"/>
  <c r="C14" i="2"/>
  <c r="C15" i="2" s="1"/>
  <c r="B27" i="2"/>
  <c r="B16" i="23"/>
  <c r="E10" i="2"/>
  <c r="D13" i="2"/>
  <c r="D15" i="2" s="1"/>
  <c r="B13" i="23"/>
  <c r="B15" i="23" s="1"/>
  <c r="B34" i="23" s="1"/>
  <c r="B15" i="7"/>
  <c r="E16" i="23"/>
  <c r="B13" i="22"/>
  <c r="E16" i="22"/>
  <c r="B16" i="22"/>
  <c r="D16" i="23"/>
  <c r="B15" i="19"/>
  <c r="B40" i="19" s="1"/>
  <c r="D42" i="18"/>
  <c r="D24" i="18"/>
  <c r="B42" i="18"/>
  <c r="B24" i="18"/>
  <c r="C42" i="18"/>
  <c r="C24" i="18"/>
  <c r="E24" i="18"/>
  <c r="C14" i="18"/>
  <c r="C13" i="19"/>
  <c r="C14" i="19"/>
  <c r="B43" i="18"/>
  <c r="B14" i="18"/>
  <c r="B13" i="18"/>
  <c r="B15" i="18" s="1"/>
  <c r="D16" i="18"/>
  <c r="E10" i="18"/>
  <c r="E13" i="18" s="1"/>
  <c r="D13" i="18"/>
  <c r="E43" i="18"/>
  <c r="E44" i="18" s="1"/>
  <c r="B23" i="19"/>
  <c r="E10" i="19"/>
  <c r="D13" i="19"/>
  <c r="C13" i="18"/>
  <c r="E13" i="19"/>
  <c r="E15" i="19" s="1"/>
  <c r="E40" i="19" s="1"/>
  <c r="E24" i="19"/>
  <c r="C24" i="19"/>
  <c r="C26" i="19" s="1"/>
  <c r="D3" i="19"/>
  <c r="E25" i="19"/>
  <c r="E35" i="19" s="1"/>
  <c r="E23" i="19"/>
  <c r="D23" i="19"/>
  <c r="D25" i="19"/>
  <c r="E16" i="19"/>
  <c r="C16" i="19"/>
  <c r="C23" i="19"/>
  <c r="C43" i="18"/>
  <c r="C16" i="18"/>
  <c r="D15" i="18"/>
  <c r="B13" i="24"/>
  <c r="C16" i="7"/>
  <c r="E10" i="22" l="1"/>
  <c r="E13" i="22" s="1"/>
  <c r="E15" i="22" s="1"/>
  <c r="E34" i="22" s="1"/>
  <c r="E10" i="24"/>
  <c r="E13" i="24" s="1"/>
  <c r="E10" i="23"/>
  <c r="E13" i="23" s="1"/>
  <c r="E15" i="23" s="1"/>
  <c r="E34" i="23" s="1"/>
  <c r="E10" i="33"/>
  <c r="E13" i="33" s="1"/>
  <c r="E15" i="33" s="1"/>
  <c r="D10" i="7"/>
  <c r="D13" i="7" s="1"/>
  <c r="D10" i="33"/>
  <c r="D13" i="33" s="1"/>
  <c r="D15" i="33" s="1"/>
  <c r="D10" i="22"/>
  <c r="D13" i="22" s="1"/>
  <c r="D10" i="24"/>
  <c r="D13" i="24" s="1"/>
  <c r="D15" i="24" s="1"/>
  <c r="D10" i="23"/>
  <c r="D13" i="23" s="1"/>
  <c r="C47" i="33"/>
  <c r="C18" i="33"/>
  <c r="C41" i="33" s="1"/>
  <c r="C34" i="33"/>
  <c r="D15" i="19"/>
  <c r="D40" i="19" s="1"/>
  <c r="C47" i="23"/>
  <c r="C18" i="23"/>
  <c r="C41" i="23" s="1"/>
  <c r="B47" i="23"/>
  <c r="B18" i="23"/>
  <c r="B41" i="23" s="1"/>
  <c r="C47" i="22"/>
  <c r="C18" i="22"/>
  <c r="C41" i="22" s="1"/>
  <c r="D15" i="22"/>
  <c r="D34" i="22" s="1"/>
  <c r="B18" i="7"/>
  <c r="B41" i="7" s="1"/>
  <c r="B47" i="7"/>
  <c r="E13" i="2"/>
  <c r="E15" i="2" s="1"/>
  <c r="E27" i="2" s="1"/>
  <c r="E10" i="7"/>
  <c r="E13" i="7" s="1"/>
  <c r="C40" i="2"/>
  <c r="C18" i="2"/>
  <c r="C34" i="2" s="1"/>
  <c r="B40" i="2"/>
  <c r="B18" i="2"/>
  <c r="B34" i="2" s="1"/>
  <c r="D40" i="2"/>
  <c r="D18" i="2"/>
  <c r="B40" i="18"/>
  <c r="B18" i="18"/>
  <c r="B34" i="18" s="1"/>
  <c r="D40" i="18"/>
  <c r="D18" i="18"/>
  <c r="E18" i="19"/>
  <c r="E34" i="19" s="1"/>
  <c r="B27" i="19"/>
  <c r="B18" i="19"/>
  <c r="B34" i="19" s="1"/>
  <c r="C15" i="18"/>
  <c r="C27" i="2"/>
  <c r="D27" i="2"/>
  <c r="D34" i="2"/>
  <c r="E15" i="24"/>
  <c r="E47" i="24" s="1"/>
  <c r="B34" i="7"/>
  <c r="D15" i="23"/>
  <c r="D34" i="23" s="1"/>
  <c r="B15" i="22"/>
  <c r="B34" i="22" s="1"/>
  <c r="D44" i="18"/>
  <c r="D26" i="19"/>
  <c r="D35" i="19"/>
  <c r="E15" i="18"/>
  <c r="C15" i="19"/>
  <c r="C40" i="19" s="1"/>
  <c r="E26" i="19"/>
  <c r="E27" i="19"/>
  <c r="B27" i="18"/>
  <c r="D34" i="18"/>
  <c r="D27" i="18"/>
  <c r="C27" i="18"/>
  <c r="C15" i="24"/>
  <c r="C47" i="24" s="1"/>
  <c r="C15" i="7"/>
  <c r="B15" i="24"/>
  <c r="B47" i="24" s="1"/>
  <c r="D15" i="7"/>
  <c r="C44" i="18"/>
  <c r="D27" i="19" l="1"/>
  <c r="D18" i="33"/>
  <c r="D41" i="33" s="1"/>
  <c r="D47" i="33"/>
  <c r="D34" i="33"/>
  <c r="E47" i="33"/>
  <c r="E48" i="33" s="1"/>
  <c r="E18" i="33"/>
  <c r="E41" i="33" s="1"/>
  <c r="E34" i="33"/>
  <c r="D18" i="19"/>
  <c r="D34" i="19" s="1"/>
  <c r="D34" i="24"/>
  <c r="D47" i="24"/>
  <c r="B18" i="24"/>
  <c r="B41" i="24" s="1"/>
  <c r="B34" i="24"/>
  <c r="C18" i="24"/>
  <c r="C41" i="24" s="1"/>
  <c r="C34" i="24"/>
  <c r="E18" i="24"/>
  <c r="E41" i="24" s="1"/>
  <c r="E34" i="24"/>
  <c r="D18" i="24"/>
  <c r="D41" i="24" s="1"/>
  <c r="E47" i="23"/>
  <c r="E18" i="23"/>
  <c r="E41" i="23" s="1"/>
  <c r="D47" i="23"/>
  <c r="D18" i="23"/>
  <c r="D41" i="23" s="1"/>
  <c r="B47" i="22"/>
  <c r="B18" i="22"/>
  <c r="B41" i="22" s="1"/>
  <c r="D47" i="22"/>
  <c r="D18" i="22"/>
  <c r="D41" i="22" s="1"/>
  <c r="E47" i="22"/>
  <c r="E18" i="22"/>
  <c r="E41" i="22" s="1"/>
  <c r="C18" i="7"/>
  <c r="C41" i="7" s="1"/>
  <c r="C47" i="7"/>
  <c r="D18" i="7"/>
  <c r="D41" i="7" s="1"/>
  <c r="D47" i="7"/>
  <c r="E40" i="2"/>
  <c r="E41" i="2" s="1"/>
  <c r="E18" i="2"/>
  <c r="E34" i="2" s="1"/>
  <c r="E15" i="7"/>
  <c r="C40" i="18"/>
  <c r="C18" i="18"/>
  <c r="C34" i="18" s="1"/>
  <c r="E27" i="18"/>
  <c r="E40" i="18"/>
  <c r="E18" i="18"/>
  <c r="E34" i="18" s="1"/>
  <c r="C18" i="19"/>
  <c r="C34" i="19" s="1"/>
  <c r="E28" i="19"/>
  <c r="C27" i="19"/>
  <c r="E36" i="19"/>
  <c r="E41" i="19"/>
  <c r="D28" i="19"/>
  <c r="C34" i="7"/>
  <c r="D34" i="7"/>
  <c r="E49" i="24"/>
  <c r="B44" i="18"/>
  <c r="D48" i="33" l="1"/>
  <c r="E50" i="33"/>
  <c r="E52" i="33" s="1"/>
  <c r="D31" i="19"/>
  <c r="D30" i="19"/>
  <c r="E31" i="19"/>
  <c r="E30" i="19"/>
  <c r="E18" i="7"/>
  <c r="E41" i="7" s="1"/>
  <c r="E47" i="7"/>
  <c r="E34" i="7"/>
  <c r="D41" i="2"/>
  <c r="E45" i="2"/>
  <c r="E47" i="2" s="1"/>
  <c r="E48" i="23"/>
  <c r="E48" i="24"/>
  <c r="D48" i="24" s="1"/>
  <c r="E48" i="22"/>
  <c r="D36" i="19"/>
  <c r="C36" i="19" s="1"/>
  <c r="B36" i="19" s="1"/>
  <c r="E41" i="18"/>
  <c r="D41" i="19"/>
  <c r="E45" i="19"/>
  <c r="E47" i="19" s="1"/>
  <c r="C28" i="19"/>
  <c r="C48" i="33" l="1"/>
  <c r="D50" i="33"/>
  <c r="D52" i="33" s="1"/>
  <c r="C31" i="19"/>
  <c r="C30" i="19"/>
  <c r="C48" i="24"/>
  <c r="B48" i="24" s="1"/>
  <c r="E48" i="7"/>
  <c r="E50" i="7" s="1"/>
  <c r="E52" i="7" s="1"/>
  <c r="D45" i="2"/>
  <c r="D47" i="2" s="1"/>
  <c r="C41" i="2"/>
  <c r="D48" i="22"/>
  <c r="E50" i="22"/>
  <c r="E52" i="22" s="1"/>
  <c r="D48" i="23"/>
  <c r="E50" i="23"/>
  <c r="E52" i="23" s="1"/>
  <c r="D41" i="18"/>
  <c r="E45" i="18"/>
  <c r="E47" i="18" s="1"/>
  <c r="B28" i="19"/>
  <c r="C41" i="19"/>
  <c r="D45" i="19"/>
  <c r="D47" i="19" s="1"/>
  <c r="C50" i="33" l="1"/>
  <c r="C52" i="33" s="1"/>
  <c r="B48" i="33"/>
  <c r="B50" i="33" s="1"/>
  <c r="B52" i="33" s="1"/>
  <c r="B31" i="19"/>
  <c r="B30" i="19"/>
  <c r="D48" i="7"/>
  <c r="C45" i="2"/>
  <c r="C47" i="2" s="1"/>
  <c r="B41" i="2"/>
  <c r="B45" i="2" s="1"/>
  <c r="B47" i="2" s="1"/>
  <c r="C48" i="23"/>
  <c r="D50" i="23"/>
  <c r="D52" i="23" s="1"/>
  <c r="D50" i="22"/>
  <c r="D52" i="22" s="1"/>
  <c r="C48" i="22"/>
  <c r="D45" i="18"/>
  <c r="D47" i="18" s="1"/>
  <c r="C41" i="18"/>
  <c r="B41" i="19"/>
  <c r="B45" i="19" s="1"/>
  <c r="B47" i="19" s="1"/>
  <c r="C45" i="19"/>
  <c r="C47" i="19" s="1"/>
  <c r="C48" i="7" l="1"/>
  <c r="D50" i="7"/>
  <c r="D52" i="7" s="1"/>
  <c r="C50" i="23"/>
  <c r="C52" i="23" s="1"/>
  <c r="B48" i="23"/>
  <c r="B50" i="23" s="1"/>
  <c r="B52" i="23" s="1"/>
  <c r="B48" i="22"/>
  <c r="B50" i="22" s="1"/>
  <c r="B52" i="22" s="1"/>
  <c r="C50" i="22"/>
  <c r="C52" i="22" s="1"/>
  <c r="C45" i="18"/>
  <c r="C47" i="18" s="1"/>
  <c r="B41" i="18"/>
  <c r="B45" i="18" s="1"/>
  <c r="B47" i="18" s="1"/>
  <c r="B48" i="7" l="1"/>
  <c r="B50" i="7" s="1"/>
  <c r="B52" i="7" s="1"/>
  <c r="C50" i="7"/>
  <c r="C52" i="7" s="1"/>
  <c r="D25" i="24"/>
  <c r="D49" i="24" s="1"/>
  <c r="D50" i="24" s="1"/>
  <c r="D52" i="24" s="1"/>
  <c r="E50" i="24"/>
  <c r="E52" i="24" s="1"/>
  <c r="C25" i="24" l="1"/>
  <c r="C49" i="24" s="1"/>
  <c r="C50" i="24" s="1"/>
  <c r="C52" i="24" s="1"/>
  <c r="B25" i="24" l="1"/>
  <c r="B49" i="24" l="1"/>
  <c r="B50" i="24" s="1"/>
  <c r="B52" i="24" s="1"/>
  <c r="H24" i="34" l="1"/>
  <c r="I24" i="34"/>
  <c r="J24" i="34"/>
  <c r="K24" i="34"/>
  <c r="B26" i="34"/>
  <c r="C26" i="34"/>
  <c r="D26" i="34"/>
  <c r="E26" i="34"/>
  <c r="H26" i="34"/>
  <c r="I26" i="34"/>
  <c r="J26" i="34"/>
  <c r="K26" i="34"/>
  <c r="B27" i="34"/>
  <c r="C27" i="34"/>
  <c r="D27" i="34"/>
  <c r="E27" i="34"/>
  <c r="H27" i="34"/>
  <c r="I27" i="34"/>
  <c r="J27" i="34"/>
  <c r="K27" i="34"/>
  <c r="B28" i="34"/>
  <c r="C28" i="34"/>
  <c r="D28" i="34"/>
  <c r="E28" i="34"/>
  <c r="H28" i="34"/>
  <c r="I28" i="34"/>
  <c r="J28" i="34"/>
  <c r="K28" i="34"/>
  <c r="B30" i="34"/>
  <c r="C30" i="34"/>
  <c r="D30" i="34"/>
  <c r="E30" i="34"/>
  <c r="H30" i="34"/>
  <c r="I30" i="34"/>
  <c r="J30" i="34"/>
  <c r="K30" i="34"/>
  <c r="B31" i="34"/>
  <c r="C31" i="34"/>
  <c r="D31" i="34"/>
  <c r="E31" i="34"/>
  <c r="H31" i="34"/>
  <c r="I31" i="34"/>
  <c r="J31" i="34"/>
  <c r="K31" i="34"/>
  <c r="B33" i="34"/>
  <c r="C33" i="34"/>
  <c r="D33" i="34"/>
  <c r="E33" i="34"/>
  <c r="H33" i="34"/>
  <c r="I33" i="34"/>
  <c r="J33" i="34"/>
  <c r="K33" i="34"/>
  <c r="B35" i="34"/>
  <c r="C35" i="34"/>
  <c r="D35" i="34"/>
  <c r="E35" i="34"/>
  <c r="H35" i="34"/>
  <c r="I35" i="34"/>
  <c r="J35" i="34"/>
  <c r="K35" i="34"/>
  <c r="B36" i="34"/>
  <c r="C36" i="34"/>
  <c r="D36" i="34"/>
  <c r="E36" i="34"/>
  <c r="H36" i="34"/>
  <c r="I36" i="34"/>
  <c r="J36" i="34"/>
  <c r="K36" i="34"/>
  <c r="B40" i="34"/>
  <c r="C40" i="34"/>
  <c r="D40" i="34"/>
  <c r="E40" i="34"/>
  <c r="H40" i="34"/>
  <c r="I40" i="34"/>
  <c r="J40" i="34"/>
  <c r="K40" i="34"/>
  <c r="B41" i="34"/>
  <c r="C41" i="34"/>
  <c r="D41" i="34"/>
  <c r="E41" i="34"/>
  <c r="H41" i="34"/>
  <c r="I41" i="34"/>
  <c r="J41" i="34"/>
  <c r="K41" i="34"/>
  <c r="H24" i="36"/>
  <c r="I24" i="36"/>
  <c r="J24" i="36"/>
  <c r="K24" i="36"/>
  <c r="B26" i="36"/>
  <c r="C26" i="36"/>
  <c r="D26" i="36"/>
  <c r="E26" i="36"/>
  <c r="H26" i="36"/>
  <c r="I26" i="36"/>
  <c r="J26" i="36"/>
  <c r="K26" i="36"/>
  <c r="B27" i="36"/>
  <c r="C27" i="36"/>
  <c r="D27" i="36"/>
  <c r="E27" i="36"/>
  <c r="H27" i="36"/>
  <c r="I27" i="36"/>
  <c r="J27" i="36"/>
  <c r="K27" i="36"/>
  <c r="B28" i="36"/>
  <c r="C28" i="36"/>
  <c r="D28" i="36"/>
  <c r="E28" i="36"/>
  <c r="H28" i="36"/>
  <c r="I28" i="36"/>
  <c r="J28" i="36"/>
  <c r="K28" i="36"/>
  <c r="B30" i="36"/>
  <c r="C30" i="36"/>
  <c r="D30" i="36"/>
  <c r="E30" i="36"/>
  <c r="H30" i="36"/>
  <c r="I30" i="36"/>
  <c r="J30" i="36"/>
  <c r="K30" i="36"/>
  <c r="B31" i="36"/>
  <c r="C31" i="36"/>
  <c r="D31" i="36"/>
  <c r="E31" i="36"/>
  <c r="H31" i="36"/>
  <c r="I31" i="36"/>
  <c r="J31" i="36"/>
  <c r="K31" i="36"/>
  <c r="B33" i="36"/>
  <c r="C33" i="36"/>
  <c r="D33" i="36"/>
  <c r="E33" i="36"/>
  <c r="H33" i="36"/>
  <c r="I33" i="36"/>
  <c r="J33" i="36"/>
  <c r="K33" i="36"/>
  <c r="B35" i="36"/>
  <c r="C35" i="36"/>
  <c r="D35" i="36"/>
  <c r="E35" i="36"/>
  <c r="H35" i="36"/>
  <c r="I35" i="36"/>
  <c r="J35" i="36"/>
  <c r="K35" i="36"/>
  <c r="B36" i="36"/>
  <c r="C36" i="36"/>
  <c r="D36" i="36"/>
  <c r="E36" i="36"/>
  <c r="H36" i="36"/>
  <c r="I36" i="36"/>
  <c r="J36" i="36"/>
  <c r="K36" i="36"/>
  <c r="B40" i="36"/>
  <c r="C40" i="36"/>
  <c r="D40" i="36"/>
  <c r="E40" i="36"/>
  <c r="H40" i="36"/>
  <c r="I40" i="36"/>
  <c r="J40" i="36"/>
  <c r="K40" i="36"/>
  <c r="B41" i="36"/>
  <c r="C41" i="36"/>
  <c r="D41" i="36"/>
  <c r="E41" i="36"/>
  <c r="H41" i="36"/>
  <c r="I41" i="36"/>
  <c r="J41" i="36"/>
  <c r="K41" i="36"/>
  <c r="H24" i="35"/>
  <c r="I24" i="35"/>
  <c r="J24" i="35"/>
  <c r="K24" i="35"/>
  <c r="B26" i="35"/>
  <c r="C26" i="35"/>
  <c r="D26" i="35"/>
  <c r="E26" i="35"/>
  <c r="H26" i="35"/>
  <c r="I26" i="35"/>
  <c r="J26" i="35"/>
  <c r="K26" i="35"/>
  <c r="B27" i="35"/>
  <c r="C27" i="35"/>
  <c r="D27" i="35"/>
  <c r="E27" i="35"/>
  <c r="H27" i="35"/>
  <c r="I27" i="35"/>
  <c r="J27" i="35"/>
  <c r="K27" i="35"/>
  <c r="B28" i="35"/>
  <c r="C28" i="35"/>
  <c r="D28" i="35"/>
  <c r="E28" i="35"/>
  <c r="H28" i="35"/>
  <c r="I28" i="35"/>
  <c r="J28" i="35"/>
  <c r="K28" i="35"/>
  <c r="B30" i="35"/>
  <c r="C30" i="35"/>
  <c r="D30" i="35"/>
  <c r="E30" i="35"/>
  <c r="H30" i="35"/>
  <c r="I30" i="35"/>
  <c r="J30" i="35"/>
  <c r="K30" i="35"/>
  <c r="B31" i="35"/>
  <c r="C31" i="35"/>
  <c r="D31" i="35"/>
  <c r="E31" i="35"/>
  <c r="H31" i="35"/>
  <c r="I31" i="35"/>
  <c r="J31" i="35"/>
  <c r="K31" i="35"/>
  <c r="B33" i="35"/>
  <c r="C33" i="35"/>
  <c r="D33" i="35"/>
  <c r="E33" i="35"/>
  <c r="H33" i="35"/>
  <c r="I33" i="35"/>
  <c r="J33" i="35"/>
  <c r="K33" i="35"/>
  <c r="B35" i="35"/>
  <c r="C35" i="35"/>
  <c r="D35" i="35"/>
  <c r="E35" i="35"/>
  <c r="H35" i="35"/>
  <c r="I35" i="35"/>
  <c r="J35" i="35"/>
  <c r="K35" i="35"/>
  <c r="B36" i="35"/>
  <c r="C36" i="35"/>
  <c r="D36" i="35"/>
  <c r="E36" i="35"/>
  <c r="H36" i="35"/>
  <c r="I36" i="35"/>
  <c r="J36" i="35"/>
  <c r="K36" i="35"/>
  <c r="B40" i="35"/>
  <c r="C40" i="35"/>
  <c r="D40" i="35"/>
  <c r="E40" i="35"/>
  <c r="H40" i="35"/>
  <c r="I40" i="35"/>
  <c r="J40" i="35"/>
  <c r="K40" i="35"/>
  <c r="B41" i="35"/>
  <c r="C41" i="35"/>
  <c r="D41" i="35"/>
  <c r="E41" i="35"/>
  <c r="H41" i="35"/>
  <c r="I41" i="35"/>
  <c r="J41" i="35"/>
  <c r="K41" i="35"/>
  <c r="H24" i="37"/>
  <c r="I24" i="37"/>
  <c r="J24" i="37"/>
  <c r="K24" i="37"/>
  <c r="B26" i="37"/>
  <c r="C26" i="37"/>
  <c r="D26" i="37"/>
  <c r="E26" i="37"/>
  <c r="H26" i="37"/>
  <c r="I26" i="37"/>
  <c r="J26" i="37"/>
  <c r="K26" i="37"/>
  <c r="B27" i="37"/>
  <c r="C27" i="37"/>
  <c r="D27" i="37"/>
  <c r="E27" i="37"/>
  <c r="H27" i="37"/>
  <c r="I27" i="37"/>
  <c r="J27" i="37"/>
  <c r="K27" i="37"/>
  <c r="B28" i="37"/>
  <c r="C28" i="37"/>
  <c r="D28" i="37"/>
  <c r="E28" i="37"/>
  <c r="H28" i="37"/>
  <c r="I28" i="37"/>
  <c r="J28" i="37"/>
  <c r="K28" i="37"/>
  <c r="B30" i="37"/>
  <c r="C30" i="37"/>
  <c r="D30" i="37"/>
  <c r="E30" i="37"/>
  <c r="H30" i="37"/>
  <c r="I30" i="37"/>
  <c r="J30" i="37"/>
  <c r="K30" i="37"/>
  <c r="B31" i="37"/>
  <c r="C31" i="37"/>
  <c r="D31" i="37"/>
  <c r="E31" i="37"/>
  <c r="H31" i="37"/>
  <c r="I31" i="37"/>
  <c r="J31" i="37"/>
  <c r="K31" i="37"/>
  <c r="B33" i="37"/>
  <c r="C33" i="37"/>
  <c r="D33" i="37"/>
  <c r="E33" i="37"/>
  <c r="H33" i="37"/>
  <c r="I33" i="37"/>
  <c r="J33" i="37"/>
  <c r="K33" i="37"/>
  <c r="B35" i="37"/>
  <c r="C35" i="37"/>
  <c r="D35" i="37"/>
  <c r="E35" i="37"/>
  <c r="H35" i="37"/>
  <c r="I35" i="37"/>
  <c r="J35" i="37"/>
  <c r="K35" i="37"/>
  <c r="B36" i="37"/>
  <c r="C36" i="37"/>
  <c r="D36" i="37"/>
  <c r="E36" i="37"/>
  <c r="H36" i="37"/>
  <c r="I36" i="37"/>
  <c r="J36" i="37"/>
  <c r="K36" i="37"/>
  <c r="B40" i="37"/>
  <c r="C40" i="37"/>
  <c r="D40" i="37"/>
  <c r="E40" i="37"/>
  <c r="H40" i="37"/>
  <c r="I40" i="37"/>
  <c r="J40" i="37"/>
  <c r="K40" i="37"/>
  <c r="B41" i="37"/>
  <c r="C41" i="37"/>
  <c r="D41" i="37"/>
  <c r="E41" i="37"/>
  <c r="H41" i="37"/>
  <c r="I41" i="37"/>
  <c r="J41" i="37"/>
  <c r="K41" i="37"/>
  <c r="H24" i="38"/>
  <c r="I24" i="38"/>
  <c r="J24" i="38"/>
  <c r="K24" i="38"/>
  <c r="B26" i="38"/>
  <c r="C26" i="38"/>
  <c r="D26" i="38"/>
  <c r="E26" i="38"/>
  <c r="H26" i="38"/>
  <c r="I26" i="38"/>
  <c r="J26" i="38"/>
  <c r="K26" i="38"/>
  <c r="B27" i="38"/>
  <c r="C27" i="38"/>
  <c r="D27" i="38"/>
  <c r="E27" i="38"/>
  <c r="H27" i="38"/>
  <c r="I27" i="38"/>
  <c r="J27" i="38"/>
  <c r="K27" i="38"/>
  <c r="B28" i="38"/>
  <c r="C28" i="38"/>
  <c r="D28" i="38"/>
  <c r="E28" i="38"/>
  <c r="H28" i="38"/>
  <c r="I28" i="38"/>
  <c r="J28" i="38"/>
  <c r="K28" i="38"/>
  <c r="B30" i="38"/>
  <c r="C30" i="38"/>
  <c r="D30" i="38"/>
  <c r="E30" i="38"/>
  <c r="H30" i="38"/>
  <c r="I30" i="38"/>
  <c r="J30" i="38"/>
  <c r="K30" i="38"/>
  <c r="B31" i="38"/>
  <c r="C31" i="38"/>
  <c r="D31" i="38"/>
  <c r="E31" i="38"/>
  <c r="H31" i="38"/>
  <c r="I31" i="38"/>
  <c r="J31" i="38"/>
  <c r="K31" i="38"/>
  <c r="B33" i="38"/>
  <c r="C33" i="38"/>
  <c r="D33" i="38"/>
  <c r="E33" i="38"/>
  <c r="H33" i="38"/>
  <c r="I33" i="38"/>
  <c r="J33" i="38"/>
  <c r="K33" i="38"/>
  <c r="B35" i="38"/>
  <c r="C35" i="38"/>
  <c r="D35" i="38"/>
  <c r="E35" i="38"/>
  <c r="H35" i="38"/>
  <c r="I35" i="38"/>
  <c r="J35" i="38"/>
  <c r="K35" i="38"/>
  <c r="B36" i="38"/>
  <c r="C36" i="38"/>
  <c r="D36" i="38"/>
  <c r="E36" i="38"/>
  <c r="H36" i="38"/>
  <c r="I36" i="38"/>
  <c r="J36" i="38"/>
  <c r="K36" i="38"/>
  <c r="B40" i="38"/>
  <c r="C40" i="38"/>
  <c r="D40" i="38"/>
  <c r="E40" i="38"/>
  <c r="H40" i="38"/>
  <c r="I40" i="38"/>
  <c r="J40" i="38"/>
  <c r="K40" i="38"/>
  <c r="B41" i="38"/>
  <c r="C41" i="38"/>
  <c r="D41" i="38"/>
  <c r="E41" i="38"/>
  <c r="H41" i="38"/>
  <c r="I41" i="38"/>
  <c r="J41" i="38"/>
  <c r="K41" i="38"/>
  <c r="H24" i="39"/>
  <c r="I24" i="39"/>
  <c r="J24" i="39"/>
  <c r="K24" i="39"/>
  <c r="B26" i="39"/>
  <c r="C26" i="39"/>
  <c r="D26" i="39"/>
  <c r="E26" i="39"/>
  <c r="H26" i="39"/>
  <c r="I26" i="39"/>
  <c r="J26" i="39"/>
  <c r="K26" i="39"/>
  <c r="B27" i="39"/>
  <c r="C27" i="39"/>
  <c r="D27" i="39"/>
  <c r="E27" i="39"/>
  <c r="H27" i="39"/>
  <c r="I27" i="39"/>
  <c r="J27" i="39"/>
  <c r="K27" i="39"/>
  <c r="B28" i="39"/>
  <c r="C28" i="39"/>
  <c r="D28" i="39"/>
  <c r="E28" i="39"/>
  <c r="H28" i="39"/>
  <c r="I28" i="39"/>
  <c r="J28" i="39"/>
  <c r="K28" i="39"/>
  <c r="B30" i="39"/>
  <c r="C30" i="39"/>
  <c r="D30" i="39"/>
  <c r="E30" i="39"/>
  <c r="H30" i="39"/>
  <c r="I30" i="39"/>
  <c r="J30" i="39"/>
  <c r="K30" i="39"/>
  <c r="B31" i="39"/>
  <c r="C31" i="39"/>
  <c r="D31" i="39"/>
  <c r="E31" i="39"/>
  <c r="H31" i="39"/>
  <c r="I31" i="39"/>
  <c r="J31" i="39"/>
  <c r="K31" i="39"/>
  <c r="B33" i="39"/>
  <c r="C33" i="39"/>
  <c r="D33" i="39"/>
  <c r="E33" i="39"/>
  <c r="H33" i="39"/>
  <c r="I33" i="39"/>
  <c r="J33" i="39"/>
  <c r="K33" i="39"/>
  <c r="B35" i="39"/>
  <c r="C35" i="39"/>
  <c r="D35" i="39"/>
  <c r="E35" i="39"/>
  <c r="H35" i="39"/>
  <c r="I35" i="39"/>
  <c r="J35" i="39"/>
  <c r="K35" i="39"/>
  <c r="B36" i="39"/>
  <c r="C36" i="39"/>
  <c r="D36" i="39"/>
  <c r="E36" i="39"/>
  <c r="H36" i="39"/>
  <c r="I36" i="39"/>
  <c r="J36" i="39"/>
  <c r="K36" i="39"/>
  <c r="B40" i="39"/>
  <c r="C40" i="39"/>
  <c r="D40" i="39"/>
  <c r="E40" i="39"/>
  <c r="H40" i="39"/>
  <c r="I40" i="39"/>
  <c r="J40" i="39"/>
  <c r="K40" i="39"/>
  <c r="B41" i="39"/>
  <c r="C41" i="39"/>
  <c r="D41" i="39"/>
  <c r="E41" i="39"/>
  <c r="H41" i="39"/>
  <c r="I41" i="39"/>
  <c r="J41" i="39"/>
  <c r="K41" i="39"/>
  <c r="B21" i="18"/>
  <c r="C21" i="18"/>
  <c r="D21" i="18"/>
  <c r="E21" i="18"/>
  <c r="B22" i="18"/>
  <c r="C22" i="18"/>
  <c r="D22" i="18"/>
  <c r="E22" i="18"/>
  <c r="B23" i="18"/>
  <c r="C23" i="18"/>
  <c r="D23" i="18"/>
  <c r="E23" i="18"/>
  <c r="B25" i="18"/>
  <c r="C25" i="18"/>
  <c r="D25" i="18"/>
  <c r="E25" i="18"/>
  <c r="B26" i="18"/>
  <c r="C26" i="18"/>
  <c r="D26" i="18"/>
  <c r="E26" i="18"/>
  <c r="B28" i="18"/>
  <c r="C28" i="18"/>
  <c r="D28" i="18"/>
  <c r="E28" i="18"/>
  <c r="B30" i="18"/>
  <c r="C30" i="18"/>
  <c r="D30" i="18"/>
  <c r="E30" i="18"/>
  <c r="B31" i="18"/>
  <c r="C31" i="18"/>
  <c r="D31" i="18"/>
  <c r="E31" i="18"/>
  <c r="B35" i="18"/>
  <c r="C35" i="18"/>
  <c r="D35" i="18"/>
  <c r="E35" i="18"/>
  <c r="B36" i="18"/>
  <c r="C36" i="18"/>
  <c r="D36" i="18"/>
  <c r="E36" i="18"/>
  <c r="B21" i="2"/>
  <c r="C21" i="2"/>
  <c r="D21" i="2"/>
  <c r="E21" i="2"/>
  <c r="B22" i="2"/>
  <c r="C22" i="2"/>
  <c r="D22" i="2"/>
  <c r="E22" i="2"/>
  <c r="B23" i="2"/>
  <c r="C23" i="2"/>
  <c r="D23" i="2"/>
  <c r="E23" i="2"/>
  <c r="B25" i="2"/>
  <c r="C25" i="2"/>
  <c r="D25" i="2"/>
  <c r="E25" i="2"/>
  <c r="B26" i="2"/>
  <c r="C26" i="2"/>
  <c r="D26" i="2"/>
  <c r="E26" i="2"/>
  <c r="B28" i="2"/>
  <c r="C28" i="2"/>
  <c r="D28" i="2"/>
  <c r="E28" i="2"/>
  <c r="B30" i="2"/>
  <c r="C30" i="2"/>
  <c r="D30" i="2"/>
  <c r="E30" i="2"/>
  <c r="B31" i="2"/>
  <c r="C31" i="2"/>
  <c r="D31" i="2"/>
  <c r="E31" i="2"/>
  <c r="B35" i="2"/>
  <c r="C35" i="2"/>
  <c r="D35" i="2"/>
  <c r="E35" i="2"/>
  <c r="B36" i="2"/>
  <c r="C36" i="2"/>
  <c r="D36" i="2"/>
  <c r="E36" i="2"/>
  <c r="B28" i="7"/>
  <c r="C28" i="7"/>
  <c r="D28" i="7"/>
  <c r="E28" i="7"/>
  <c r="B29" i="7"/>
  <c r="C29" i="7"/>
  <c r="D29" i="7"/>
  <c r="E29" i="7"/>
  <c r="B30" i="7"/>
  <c r="C30" i="7"/>
  <c r="D30" i="7"/>
  <c r="E30" i="7"/>
  <c r="B32" i="7"/>
  <c r="C32" i="7"/>
  <c r="D32" i="7"/>
  <c r="E32" i="7"/>
  <c r="B33" i="7"/>
  <c r="C33" i="7"/>
  <c r="D33" i="7"/>
  <c r="E33" i="7"/>
  <c r="B35" i="7"/>
  <c r="C35" i="7"/>
  <c r="D35" i="7"/>
  <c r="E35" i="7"/>
  <c r="B37" i="7"/>
  <c r="C37" i="7"/>
  <c r="D37" i="7"/>
  <c r="E37" i="7"/>
  <c r="B38" i="7"/>
  <c r="C38" i="7"/>
  <c r="D38" i="7"/>
  <c r="E38" i="7"/>
  <c r="B42" i="7"/>
  <c r="C42" i="7"/>
  <c r="D42" i="7"/>
  <c r="E42" i="7"/>
  <c r="B43" i="7"/>
  <c r="C43" i="7"/>
  <c r="D43" i="7"/>
  <c r="E43" i="7"/>
  <c r="B28" i="22"/>
  <c r="C28" i="22"/>
  <c r="D28" i="22"/>
  <c r="E28" i="22"/>
  <c r="B29" i="22"/>
  <c r="C29" i="22"/>
  <c r="D29" i="22"/>
  <c r="E29" i="22"/>
  <c r="B30" i="22"/>
  <c r="C30" i="22"/>
  <c r="D30" i="22"/>
  <c r="E30" i="22"/>
  <c r="B32" i="22"/>
  <c r="C32" i="22"/>
  <c r="D32" i="22"/>
  <c r="E32" i="22"/>
  <c r="B33" i="22"/>
  <c r="C33" i="22"/>
  <c r="D33" i="22"/>
  <c r="E33" i="22"/>
  <c r="B35" i="22"/>
  <c r="C35" i="22"/>
  <c r="D35" i="22"/>
  <c r="E35" i="22"/>
  <c r="B37" i="22"/>
  <c r="C37" i="22"/>
  <c r="D37" i="22"/>
  <c r="E37" i="22"/>
  <c r="B38" i="22"/>
  <c r="C38" i="22"/>
  <c r="D38" i="22"/>
  <c r="E38" i="22"/>
  <c r="B42" i="22"/>
  <c r="C42" i="22"/>
  <c r="D42" i="22"/>
  <c r="E42" i="22"/>
  <c r="B43" i="22"/>
  <c r="C43" i="22"/>
  <c r="D43" i="22"/>
  <c r="E43" i="22"/>
  <c r="B28" i="23"/>
  <c r="C28" i="23"/>
  <c r="D28" i="23"/>
  <c r="E28" i="23"/>
  <c r="B29" i="23"/>
  <c r="C29" i="23"/>
  <c r="D29" i="23"/>
  <c r="E29" i="23"/>
  <c r="B30" i="23"/>
  <c r="C30" i="23"/>
  <c r="D30" i="23"/>
  <c r="E30" i="23"/>
  <c r="B32" i="23"/>
  <c r="C32" i="23"/>
  <c r="D32" i="23"/>
  <c r="E32" i="23"/>
  <c r="B33" i="23"/>
  <c r="C33" i="23"/>
  <c r="D33" i="23"/>
  <c r="E33" i="23"/>
  <c r="B35" i="23"/>
  <c r="C35" i="23"/>
  <c r="D35" i="23"/>
  <c r="E35" i="23"/>
  <c r="B37" i="23"/>
  <c r="C37" i="23"/>
  <c r="D37" i="23"/>
  <c r="E37" i="23"/>
  <c r="B38" i="23"/>
  <c r="C38" i="23"/>
  <c r="D38" i="23"/>
  <c r="E38" i="23"/>
  <c r="B42" i="23"/>
  <c r="C42" i="23"/>
  <c r="D42" i="23"/>
  <c r="E42" i="23"/>
  <c r="B43" i="23"/>
  <c r="C43" i="23"/>
  <c r="D43" i="23"/>
  <c r="E43" i="23"/>
  <c r="B28" i="24"/>
  <c r="C28" i="24"/>
  <c r="D28" i="24"/>
  <c r="E28" i="24"/>
  <c r="B29" i="24"/>
  <c r="C29" i="24"/>
  <c r="D29" i="24"/>
  <c r="E29" i="24"/>
  <c r="B30" i="24"/>
  <c r="C30" i="24"/>
  <c r="D30" i="24"/>
  <c r="E30" i="24"/>
  <c r="B32" i="24"/>
  <c r="C32" i="24"/>
  <c r="D32" i="24"/>
  <c r="E32" i="24"/>
  <c r="B33" i="24"/>
  <c r="C33" i="24"/>
  <c r="D33" i="24"/>
  <c r="E33" i="24"/>
  <c r="B35" i="24"/>
  <c r="C35" i="24"/>
  <c r="D35" i="24"/>
  <c r="E35" i="24"/>
  <c r="B37" i="24"/>
  <c r="C37" i="24"/>
  <c r="D37" i="24"/>
  <c r="E37" i="24"/>
  <c r="B38" i="24"/>
  <c r="C38" i="24"/>
  <c r="D38" i="24"/>
  <c r="E38" i="24"/>
  <c r="B42" i="24"/>
  <c r="C42" i="24"/>
  <c r="D42" i="24"/>
  <c r="E42" i="24"/>
  <c r="B43" i="24"/>
  <c r="C43" i="24"/>
  <c r="D43" i="24"/>
  <c r="E43" i="24"/>
  <c r="B28" i="33"/>
  <c r="C28" i="33"/>
  <c r="D28" i="33"/>
  <c r="E28" i="33"/>
  <c r="B29" i="33"/>
  <c r="C29" i="33"/>
  <c r="D29" i="33"/>
  <c r="E29" i="33"/>
  <c r="B30" i="33"/>
  <c r="C30" i="33"/>
  <c r="D30" i="33"/>
  <c r="E30" i="33"/>
  <c r="B32" i="33"/>
  <c r="C32" i="33"/>
  <c r="D32" i="33"/>
  <c r="E32" i="33"/>
  <c r="B33" i="33"/>
  <c r="C33" i="33"/>
  <c r="D33" i="33"/>
  <c r="E33" i="33"/>
  <c r="B35" i="33"/>
  <c r="C35" i="33"/>
  <c r="D35" i="33"/>
  <c r="E35" i="33"/>
  <c r="B37" i="33"/>
  <c r="C37" i="33"/>
  <c r="D37" i="33"/>
  <c r="E37" i="33"/>
  <c r="B38" i="33"/>
  <c r="C38" i="33"/>
  <c r="D38" i="33"/>
  <c r="E38" i="33"/>
  <c r="B42" i="33"/>
  <c r="C42" i="33"/>
  <c r="D42" i="33"/>
  <c r="E42" i="33"/>
  <c r="B43" i="33"/>
  <c r="C43" i="33"/>
  <c r="D43" i="33"/>
  <c r="E43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Miloš Mařík</author>
  </authors>
  <commentList>
    <comment ref="E32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Miloš Mařík:</t>
        </r>
        <r>
          <rPr>
            <sz val="9"/>
            <color indexed="81"/>
            <rFont val="Tahoma"/>
            <family val="2"/>
            <charset val="238"/>
          </rPr>
          <t xml:space="preserve">
Model Milles-Ezzel</t>
        </r>
      </text>
    </comment>
  </commentList>
</comments>
</file>

<file path=xl/sharedStrings.xml><?xml version="1.0" encoding="utf-8"?>
<sst xmlns="http://schemas.openxmlformats.org/spreadsheetml/2006/main" count="969" uniqueCount="196">
  <si>
    <t>Položka</t>
  </si>
  <si>
    <t>2. fáze</t>
  </si>
  <si>
    <t>CK</t>
  </si>
  <si>
    <t>CK/K</t>
  </si>
  <si>
    <t>WACC</t>
  </si>
  <si>
    <t>Hodnota brutto</t>
  </si>
  <si>
    <t>FCFE</t>
  </si>
  <si>
    <t>Daň</t>
  </si>
  <si>
    <t>g ve 2.fázi</t>
  </si>
  <si>
    <t>Hodnota brutto k 1.1.</t>
  </si>
  <si>
    <t>VK/K</t>
  </si>
  <si>
    <t>Změna CK</t>
  </si>
  <si>
    <t>SH daňového štítu k 1.1.</t>
  </si>
  <si>
    <t>CK/VK</t>
  </si>
  <si>
    <t>FCFF</t>
  </si>
  <si>
    <t>Provozní VH před daní</t>
  </si>
  <si>
    <t>KPVH</t>
  </si>
  <si>
    <t>Mařík Miloš a kol.:</t>
  </si>
  <si>
    <t>METODY OCEŇOVÁNÍ PODNIKU PRO POKROČILÉ</t>
  </si>
  <si>
    <t>Příklad</t>
  </si>
  <si>
    <t>© Miloš Mařík, Pavla Maříková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</si>
  <si>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</si>
  <si>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</si>
  <si>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</si>
  <si>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>Soubor obsahuje automatické iterace. Pro jejich správné fungování</t>
  </si>
  <si>
    <t>je nutné v Excelu povolit iterace:</t>
  </si>
  <si>
    <t>Excel verze 2003:</t>
  </si>
  <si>
    <t>Nástroje - Možnosti - karta Výpočty - zatrhnout políčko Iterace</t>
  </si>
  <si>
    <t>Excel verze 2007 a vyšší:</t>
  </si>
  <si>
    <t>Když nejsou iterace povoleny, objeví se chybová hláška "kruhový odkaz".</t>
  </si>
  <si>
    <t>VZÁJEMNÁ SHODA VARIANT METODY DCF</t>
  </si>
  <si>
    <t>Kapitola 5, začátek příkladu na straně publikace: 150</t>
  </si>
  <si>
    <t>Část 1 (str. 150)</t>
  </si>
  <si>
    <t>Zadání</t>
  </si>
  <si>
    <r>
      <t>n</t>
    </r>
    <r>
      <rPr>
        <vertAlign val="subscript"/>
        <sz val="12"/>
        <rFont val="Times New Roman CE"/>
        <charset val="238"/>
      </rPr>
      <t>CK</t>
    </r>
    <r>
      <rPr>
        <sz val="12"/>
        <rFont val="Times New Roman CE"/>
        <charset val="238"/>
      </rPr>
      <t xml:space="preserve"> </t>
    </r>
  </si>
  <si>
    <r>
      <t>n</t>
    </r>
    <r>
      <rPr>
        <vertAlign val="subscript"/>
        <sz val="12"/>
        <rFont val="Times New Roman CE"/>
        <charset val="238"/>
      </rPr>
      <t>VKn</t>
    </r>
  </si>
  <si>
    <t>g ve 2. fázi</t>
  </si>
  <si>
    <t>Další předpoklady</t>
  </si>
  <si>
    <t>CK k 1.1.</t>
  </si>
  <si>
    <t>VK k 1.1.</t>
  </si>
  <si>
    <t>Investovaný kapitál  k 1.1.</t>
  </si>
  <si>
    <t>Investice netto</t>
  </si>
  <si>
    <r>
      <t>n</t>
    </r>
    <r>
      <rPr>
        <vertAlign val="subscript"/>
        <sz val="12"/>
        <rFont val="Times New Roman CE"/>
        <charset val="238"/>
      </rPr>
      <t>CK</t>
    </r>
    <r>
      <rPr>
        <sz val="12"/>
        <rFont val="Times New Roman CE"/>
        <charset val="238"/>
      </rPr>
      <t xml:space="preserve"> nominální</t>
    </r>
  </si>
  <si>
    <t>Ocenění metodou DCF entity</t>
  </si>
  <si>
    <t>Stabilní CK, daňová sazba a úroková míra</t>
  </si>
  <si>
    <r>
      <t>n</t>
    </r>
    <r>
      <rPr>
        <b/>
        <vertAlign val="subscript"/>
        <sz val="12"/>
        <color theme="4"/>
        <rFont val="Times New Roman CE"/>
        <charset val="238"/>
      </rPr>
      <t xml:space="preserve">VKz </t>
    </r>
    <r>
      <rPr>
        <b/>
        <sz val="12"/>
        <color theme="4"/>
        <rFont val="Times New Roman CE"/>
        <charset val="238"/>
      </rPr>
      <t>podle cílové struktury</t>
    </r>
  </si>
  <si>
    <r>
      <t>Výsledná struktura CK/H</t>
    </r>
    <r>
      <rPr>
        <vertAlign val="subscript"/>
        <sz val="12"/>
        <rFont val="Times New Roman CE"/>
        <charset val="238"/>
      </rPr>
      <t>b</t>
    </r>
  </si>
  <si>
    <t>Ocenění metodou DCF equity</t>
  </si>
  <si>
    <r>
      <t>n</t>
    </r>
    <r>
      <rPr>
        <vertAlign val="subscript"/>
        <sz val="12"/>
        <rFont val="Times New Roman CE"/>
        <charset val="238"/>
      </rPr>
      <t>CK</t>
    </r>
    <r>
      <rPr>
        <sz val="12"/>
        <rFont val="Times New Roman CE"/>
        <charset val="238"/>
      </rPr>
      <t xml:space="preserve"> . CK</t>
    </r>
  </si>
  <si>
    <t>Hodnota netto k 1.1.</t>
  </si>
  <si>
    <t>Daňový štít roční</t>
  </si>
  <si>
    <t>Hodnota nezadlužené firmy</t>
  </si>
  <si>
    <r>
      <t>n</t>
    </r>
    <r>
      <rPr>
        <vertAlign val="subscript"/>
        <sz val="12"/>
        <rFont val="Times New Roman CE"/>
        <charset val="238"/>
      </rPr>
      <t>CK</t>
    </r>
  </si>
  <si>
    <r>
      <t>n</t>
    </r>
    <r>
      <rPr>
        <b/>
        <vertAlign val="subscript"/>
        <sz val="12"/>
        <color theme="4"/>
        <rFont val="Times New Roman CE"/>
        <charset val="238"/>
      </rPr>
      <t>VKn</t>
    </r>
  </si>
  <si>
    <t>Cílová struktura (tj. bez vyladění), reagenční funkce Miller Modigliani</t>
  </si>
  <si>
    <t>Část 2 (str. 155)</t>
  </si>
  <si>
    <t>Reagenční funkce Miller Modigliani, struktura vyladěná iteracemi</t>
  </si>
  <si>
    <t>Daňová sazba</t>
  </si>
  <si>
    <t>CK/K (vstupní struktura)</t>
  </si>
  <si>
    <t>Ocenění metodou DCF entity po iteracích</t>
  </si>
  <si>
    <r>
      <t>n</t>
    </r>
    <r>
      <rPr>
        <vertAlign val="subscript"/>
        <sz val="12"/>
        <rFont val="Times New Roman CE"/>
        <charset val="238"/>
      </rPr>
      <t>CK</t>
    </r>
    <r>
      <rPr>
        <sz val="12"/>
        <rFont val="Times New Roman CE"/>
        <family val="1"/>
        <charset val="238"/>
      </rPr>
      <t xml:space="preserve"> po dani</t>
    </r>
  </si>
  <si>
    <t>Propočet volných peněžních toků</t>
  </si>
  <si>
    <r>
      <t>n</t>
    </r>
    <r>
      <rPr>
        <b/>
        <vertAlign val="subscript"/>
        <sz val="12"/>
        <color theme="4"/>
        <rFont val="Times New Roman CE"/>
        <charset val="238"/>
      </rPr>
      <t xml:space="preserve">VKz </t>
    </r>
    <r>
      <rPr>
        <b/>
        <sz val="12"/>
        <color theme="4"/>
        <rFont val="Times New Roman CE"/>
        <charset val="238"/>
      </rPr>
      <t>po vyladění</t>
    </r>
  </si>
  <si>
    <t>WACC po vyladění</t>
  </si>
  <si>
    <t>Ocenění metodou DCF APV</t>
  </si>
  <si>
    <t>Zadání (stejné jako v části 1, pouze bez zadané cílové struktury kapitálu)</t>
  </si>
  <si>
    <t>iterace</t>
  </si>
  <si>
    <t>Ocenění metodou DCF equity po iteracích</t>
  </si>
  <si>
    <t>Část 3 (str. 157)</t>
  </si>
  <si>
    <r>
      <t>Zadání (jako v části 2, ale měnící se CK, n</t>
    </r>
    <r>
      <rPr>
        <b/>
        <vertAlign val="subscript"/>
        <sz val="12"/>
        <color indexed="12"/>
        <rFont val="Times New Roman"/>
        <family val="1"/>
        <charset val="238"/>
      </rPr>
      <t>CK</t>
    </r>
    <r>
      <rPr>
        <b/>
        <sz val="12"/>
        <color indexed="12"/>
        <rFont val="Times New Roman"/>
        <family val="1"/>
        <charset val="238"/>
      </rPr>
      <t>, daň a nenulové g)</t>
    </r>
  </si>
  <si>
    <t>Část 4 (str. 161)</t>
  </si>
  <si>
    <t>Měnící se CK, daňová sazba a úroková míra</t>
  </si>
  <si>
    <t>Modifikovaná reagenční funkce, struktura vyladěná iteracemi</t>
  </si>
  <si>
    <r>
      <t>Propočet daňového štítu (diskontní míra na úrovni n</t>
    </r>
    <r>
      <rPr>
        <b/>
        <vertAlign val="subscript"/>
        <sz val="12"/>
        <color indexed="12"/>
        <rFont val="Times New Roman"/>
        <family val="1"/>
        <charset val="238"/>
      </rPr>
      <t>CK</t>
    </r>
    <r>
      <rPr>
        <b/>
        <sz val="12"/>
        <color indexed="12"/>
        <rFont val="Times New Roman"/>
        <family val="1"/>
        <charset val="238"/>
      </rPr>
      <t>)</t>
    </r>
  </si>
  <si>
    <t xml:space="preserve">Roční daňový štít </t>
  </si>
  <si>
    <t>Zadání (jako v části 3, ale pro přepočet nákladů VK bude použita modifikovaná reagenční funkce)</t>
  </si>
  <si>
    <t>Část 5 (str. 167)</t>
  </si>
  <si>
    <t>Reagenční funkce pro nejisté daň. štíty, struktura vyladěná iteracemi</t>
  </si>
  <si>
    <t>Zadání (jako v části 4, ale úrokové daňové štíty budou považovány za nejisté)</t>
  </si>
  <si>
    <t>Diskotní míra pro DS</t>
  </si>
  <si>
    <r>
      <t>Propočet daňového štítu (diskontní míra na úrovni n</t>
    </r>
    <r>
      <rPr>
        <b/>
        <vertAlign val="subscript"/>
        <sz val="12"/>
        <color indexed="12"/>
        <rFont val="Times New Roman"/>
        <family val="1"/>
        <charset val="238"/>
      </rPr>
      <t>VKn</t>
    </r>
    <r>
      <rPr>
        <b/>
        <sz val="12"/>
        <color indexed="12"/>
        <rFont val="Times New Roman"/>
        <family val="1"/>
        <charset val="238"/>
      </rPr>
      <t>)</t>
    </r>
  </si>
  <si>
    <t>Daňové štíty nejisté od druhého roku, struktura vyladěná iteracemi</t>
  </si>
  <si>
    <r>
      <t>Propočet daňového štítu (diskontní míra 1. rok na úrovni n</t>
    </r>
    <r>
      <rPr>
        <b/>
        <vertAlign val="subscript"/>
        <sz val="12"/>
        <color indexed="12"/>
        <rFont val="Times New Roman"/>
        <family val="1"/>
        <charset val="238"/>
      </rPr>
      <t>CK</t>
    </r>
    <r>
      <rPr>
        <b/>
        <sz val="12"/>
        <color indexed="12"/>
        <rFont val="Times New Roman"/>
        <family val="1"/>
        <charset val="238"/>
      </rPr>
      <t xml:space="preserve"> a od 2. roku n</t>
    </r>
    <r>
      <rPr>
        <b/>
        <vertAlign val="subscript"/>
        <sz val="12"/>
        <color indexed="12"/>
        <rFont val="Times New Roman"/>
        <family val="1"/>
        <charset val="238"/>
      </rPr>
      <t>VKn</t>
    </r>
    <r>
      <rPr>
        <b/>
        <sz val="12"/>
        <color indexed="12"/>
        <rFont val="Times New Roman"/>
        <family val="1"/>
        <charset val="238"/>
      </rPr>
      <t>)</t>
    </r>
  </si>
  <si>
    <t>Zadání (jako v části 5, ale úrokové daňové štíty budou považovány za nejisté až od 2. roku 2. fáze)</t>
  </si>
  <si>
    <r>
      <t>Propočet daňového štítu (diskontní míra v 1. fázi na úrovni n</t>
    </r>
    <r>
      <rPr>
        <b/>
        <vertAlign val="subscript"/>
        <sz val="12"/>
        <color indexed="12"/>
        <rFont val="Times New Roman"/>
        <family val="1"/>
        <charset val="238"/>
      </rPr>
      <t>CK</t>
    </r>
    <r>
      <rPr>
        <b/>
        <sz val="12"/>
        <color indexed="12"/>
        <rFont val="Times New Roman"/>
        <family val="1"/>
        <charset val="238"/>
      </rPr>
      <t xml:space="preserve"> a od 2. roku 2. fáze n</t>
    </r>
    <r>
      <rPr>
        <b/>
        <vertAlign val="subscript"/>
        <sz val="12"/>
        <color indexed="12"/>
        <rFont val="Times New Roman"/>
        <family val="1"/>
        <charset val="238"/>
      </rPr>
      <t>VKn</t>
    </r>
    <r>
      <rPr>
        <b/>
        <sz val="12"/>
        <color indexed="12"/>
        <rFont val="Times New Roman"/>
        <family val="1"/>
        <charset val="238"/>
      </rPr>
      <t>)</t>
    </r>
  </si>
  <si>
    <t>V 1. fázi relativně jisté daňové štíty, ve 2. fázi funkce Miles-Ezzel</t>
  </si>
  <si>
    <t>Část 8 (str. 172)</t>
  </si>
  <si>
    <t>Část 7 (str. 171)</t>
  </si>
  <si>
    <t>Zadání (jako v části 5, ale úrokové daňové štíty budou považovány za nejisté až od 2. roku 1. fáze)</t>
  </si>
  <si>
    <t>Část 9 (str. 175)</t>
  </si>
  <si>
    <t>Univerzální reagenčí funkce</t>
  </si>
  <si>
    <r>
      <t>Zadání (jako v části 5, ale riziko daňových štítů bude mezi n</t>
    </r>
    <r>
      <rPr>
        <b/>
        <vertAlign val="subscript"/>
        <sz val="12"/>
        <color indexed="12"/>
        <rFont val="Times New Roman"/>
        <family val="1"/>
        <charset val="238"/>
      </rPr>
      <t>CK</t>
    </r>
    <r>
      <rPr>
        <b/>
        <sz val="12"/>
        <color indexed="12"/>
        <rFont val="Times New Roman"/>
        <family val="1"/>
        <charset val="238"/>
      </rPr>
      <t xml:space="preserve"> a n</t>
    </r>
    <r>
      <rPr>
        <b/>
        <vertAlign val="subscript"/>
        <sz val="12"/>
        <color indexed="12"/>
        <rFont val="Times New Roman"/>
        <family val="1"/>
        <charset val="238"/>
      </rPr>
      <t>VKn</t>
    </r>
    <r>
      <rPr>
        <b/>
        <sz val="12"/>
        <color indexed="12"/>
        <rFont val="Times New Roman"/>
        <family val="1"/>
        <charset val="238"/>
      </rPr>
      <t>)</t>
    </r>
  </si>
  <si>
    <r>
      <t>Propočet daňového štítu (diskontní míra na zvolené úrovni mezi n</t>
    </r>
    <r>
      <rPr>
        <b/>
        <vertAlign val="subscript"/>
        <sz val="12"/>
        <color indexed="12"/>
        <rFont val="Times New Roman"/>
        <family val="1"/>
        <charset val="238"/>
      </rPr>
      <t>CK</t>
    </r>
    <r>
      <rPr>
        <b/>
        <sz val="12"/>
        <color indexed="12"/>
        <rFont val="Times New Roman"/>
        <family val="1"/>
        <charset val="238"/>
      </rPr>
      <t xml:space="preserve"> a n</t>
    </r>
    <r>
      <rPr>
        <b/>
        <vertAlign val="subscript"/>
        <sz val="12"/>
        <color indexed="12"/>
        <rFont val="Times New Roman"/>
        <family val="1"/>
        <charset val="238"/>
      </rPr>
      <t>VKn</t>
    </r>
    <r>
      <rPr>
        <b/>
        <sz val="12"/>
        <color indexed="12"/>
        <rFont val="Times New Roman"/>
        <family val="1"/>
        <charset val="238"/>
      </rPr>
      <t>)</t>
    </r>
  </si>
  <si>
    <t>Podle těchto barev lze také sledovat, které buňky jsou v dané části příkladu zadány</t>
  </si>
  <si>
    <t>nově a které jsou přebírané z předchozích částí příkladu.</t>
  </si>
  <si>
    <t>Část 6 (str. 169)</t>
  </si>
  <si>
    <t>Ekopress 2023, Praha, třetí vydání</t>
  </si>
  <si>
    <t>ISBN 978-80-87865-89-7</t>
  </si>
  <si>
    <t>Část 10 (str. 182)</t>
  </si>
  <si>
    <t>Koeficient beta, stabilní CK</t>
  </si>
  <si>
    <t>Zadání (stejné jako v části 1 se stabilním CK a nulovým růstem ve 2. fázi)</t>
  </si>
  <si>
    <r>
      <t>n</t>
    </r>
    <r>
      <rPr>
        <b/>
        <vertAlign val="subscript"/>
        <sz val="12"/>
        <color theme="4" tint="-0.249977111117893"/>
        <rFont val="Times New Roman CE"/>
        <charset val="238"/>
      </rPr>
      <t xml:space="preserve">VKz </t>
    </r>
    <r>
      <rPr>
        <b/>
        <sz val="12"/>
        <color theme="4" tint="-0.249977111117893"/>
        <rFont val="Times New Roman CE"/>
        <charset val="238"/>
      </rPr>
      <t>po vyladění</t>
    </r>
  </si>
  <si>
    <t>RP</t>
  </si>
  <si>
    <r>
      <t>r</t>
    </r>
    <r>
      <rPr>
        <vertAlign val="subscript"/>
        <sz val="12"/>
        <rFont val="Times New Roman CE"/>
        <charset val="238"/>
      </rPr>
      <t>f</t>
    </r>
  </si>
  <si>
    <r>
      <t>β</t>
    </r>
    <r>
      <rPr>
        <vertAlign val="subscript"/>
        <sz val="12"/>
        <rFont val="Times New Roman CE"/>
        <charset val="238"/>
      </rPr>
      <t>n</t>
    </r>
  </si>
  <si>
    <r>
      <t>n</t>
    </r>
    <r>
      <rPr>
        <vertAlign val="subscript"/>
        <sz val="12"/>
        <rFont val="Times New Roman CE"/>
        <charset val="238"/>
      </rPr>
      <t>VKn</t>
    </r>
    <r>
      <rPr>
        <sz val="12"/>
        <rFont val="Times New Roman CE"/>
        <charset val="238"/>
      </rPr>
      <t xml:space="preserve"> </t>
    </r>
    <r>
      <rPr>
        <i/>
        <sz val="12"/>
        <rFont val="Times New Roman CE"/>
        <charset val="238"/>
      </rPr>
      <t>(dopočtené z CAPM)</t>
    </r>
  </si>
  <si>
    <t>OCENĚNÍ - PŘEPOČET BETA:</t>
  </si>
  <si>
    <t>OCENĚNÍ - PŘEPOČET NÁKLADŮ VK (z části 1):</t>
  </si>
  <si>
    <r>
      <t>n</t>
    </r>
    <r>
      <rPr>
        <b/>
        <vertAlign val="subscript"/>
        <sz val="12"/>
        <color theme="4" tint="-0.249977111117893"/>
        <rFont val="Times New Roman CE"/>
        <charset val="238"/>
      </rPr>
      <t xml:space="preserve">VKz </t>
    </r>
    <r>
      <rPr>
        <b/>
        <sz val="12"/>
        <color theme="4" tint="-0.249977111117893"/>
        <rFont val="Times New Roman CE"/>
        <charset val="238"/>
      </rPr>
      <t>(dopočtené z CAPM)</t>
    </r>
  </si>
  <si>
    <t>Beta po iteracích</t>
  </si>
  <si>
    <r>
      <t>β</t>
    </r>
    <r>
      <rPr>
        <b/>
        <vertAlign val="subscript"/>
        <sz val="12"/>
        <color theme="4" tint="-0.249977111117893"/>
        <rFont val="Times New Roman CE"/>
        <charset val="238"/>
      </rPr>
      <t>z</t>
    </r>
  </si>
  <si>
    <r>
      <t>n</t>
    </r>
    <r>
      <rPr>
        <b/>
        <vertAlign val="subscript"/>
        <sz val="12"/>
        <color theme="4"/>
        <rFont val="Times New Roman CE"/>
        <charset val="238"/>
      </rPr>
      <t xml:space="preserve">VKz </t>
    </r>
    <r>
      <rPr>
        <b/>
        <sz val="12"/>
        <color theme="4"/>
        <rFont val="Times New Roman CE"/>
        <charset val="238"/>
      </rPr>
      <t xml:space="preserve"> (dopočtené z CAPM)</t>
    </r>
  </si>
  <si>
    <r>
      <t>Ocenění při přepočtu beta se neshoduje s oceněním při přepočtu n</t>
    </r>
    <r>
      <rPr>
        <vertAlign val="subscript"/>
        <sz val="12"/>
        <rFont val="Times New Roman CE"/>
        <charset val="238"/>
      </rPr>
      <t>VK</t>
    </r>
    <r>
      <rPr>
        <sz val="12"/>
        <rFont val="Times New Roman CE"/>
        <charset val="238"/>
      </rPr>
      <t>,</t>
    </r>
  </si>
  <si>
    <r>
      <t>protože vzorec pro betu předpokládá n</t>
    </r>
    <r>
      <rPr>
        <vertAlign val="subscript"/>
        <sz val="12"/>
        <rFont val="Times New Roman CE"/>
        <charset val="238"/>
      </rPr>
      <t>CK</t>
    </r>
    <r>
      <rPr>
        <sz val="12"/>
        <rFont val="Times New Roman CE"/>
        <charset val="238"/>
      </rPr>
      <t xml:space="preserve"> = r</t>
    </r>
    <r>
      <rPr>
        <vertAlign val="subscript"/>
        <sz val="12"/>
        <rFont val="Times New Roman CE"/>
        <charset val="238"/>
      </rPr>
      <t>f</t>
    </r>
    <r>
      <rPr>
        <sz val="12"/>
        <rFont val="Times New Roman CE"/>
        <charset val="238"/>
      </rPr>
      <t>.</t>
    </r>
  </si>
  <si>
    <t>Koeficient beta, stabilní CK, pokud by náklady CK odpovídaly bezrizikové výnosnosti</t>
  </si>
  <si>
    <t>OCENĚNÍ - PŘEPOČET NÁKLADŮ VK:</t>
  </si>
  <si>
    <r>
      <t>Výsledná hodnota při přepočtu n</t>
    </r>
    <r>
      <rPr>
        <vertAlign val="subscript"/>
        <sz val="12"/>
        <rFont val="Times New Roman CE"/>
        <charset val="238"/>
      </rPr>
      <t xml:space="preserve">VK </t>
    </r>
    <r>
      <rPr>
        <sz val="12"/>
        <rFont val="Times New Roman CE"/>
        <charset val="238"/>
      </rPr>
      <t xml:space="preserve">se nezměnila (protože CK a daňová  </t>
    </r>
  </si>
  <si>
    <t>sazba jsou stabilní), ale ocenění s přepočtem beta už poskytuje stejný</t>
  </si>
  <si>
    <r>
      <t>výsledek, protože n</t>
    </r>
    <r>
      <rPr>
        <vertAlign val="subscript"/>
        <sz val="12"/>
        <rFont val="Times New Roman CE"/>
        <charset val="238"/>
      </rPr>
      <t>CK</t>
    </r>
    <r>
      <rPr>
        <sz val="12"/>
        <rFont val="Times New Roman CE"/>
        <charset val="238"/>
      </rPr>
      <t xml:space="preserve"> = r</t>
    </r>
    <r>
      <rPr>
        <vertAlign val="subscript"/>
        <sz val="12"/>
        <rFont val="Times New Roman CE"/>
        <charset val="238"/>
      </rPr>
      <t>f</t>
    </r>
    <r>
      <rPr>
        <sz val="12"/>
        <rFont val="Times New Roman CE"/>
        <charset val="238"/>
      </rPr>
      <t xml:space="preserve"> a ocenění tak neobsahuje vnitřní rozpor.</t>
    </r>
  </si>
  <si>
    <t>Část 10 (str. 185)</t>
  </si>
  <si>
    <t>po změně nákladů cizího kapitálu</t>
  </si>
  <si>
    <r>
      <t>Koeficient beta, stabilní CK, n</t>
    </r>
    <r>
      <rPr>
        <b/>
        <vertAlign val="subscript"/>
        <sz val="12"/>
        <color rgb="FFFF0000"/>
        <rFont val="Times New Roman CE"/>
        <charset val="238"/>
      </rPr>
      <t>CK</t>
    </r>
    <r>
      <rPr>
        <b/>
        <sz val="12"/>
        <color rgb="FFFF0000"/>
        <rFont val="Times New Roman CE"/>
        <family val="1"/>
        <charset val="238"/>
      </rPr>
      <t xml:space="preserve"> &gt; r</t>
    </r>
    <r>
      <rPr>
        <b/>
        <vertAlign val="subscript"/>
        <sz val="12"/>
        <color rgb="FFFF0000"/>
        <rFont val="Times New Roman CE"/>
        <charset val="238"/>
      </rPr>
      <t>f</t>
    </r>
  </si>
  <si>
    <r>
      <rPr>
        <sz val="12"/>
        <rFont val="Calibri"/>
        <family val="2"/>
        <charset val="238"/>
      </rPr>
      <t>β</t>
    </r>
    <r>
      <rPr>
        <vertAlign val="subscript"/>
        <sz val="12"/>
        <rFont val="Times New Roman CE"/>
        <charset val="238"/>
      </rPr>
      <t>CK</t>
    </r>
  </si>
  <si>
    <t>Po doplnění bety cizího kapitálu do reagenční funkce pro betu se</t>
  </si>
  <si>
    <r>
      <t>ocenění při přepočtu n</t>
    </r>
    <r>
      <rPr>
        <vertAlign val="subscript"/>
        <sz val="12"/>
        <rFont val="Times New Roman CE"/>
        <charset val="238"/>
      </rPr>
      <t>VK</t>
    </r>
    <r>
      <rPr>
        <sz val="12"/>
        <rFont val="Times New Roman CE"/>
        <charset val="238"/>
      </rPr>
      <t xml:space="preserve"> i při přepočtu bety již shodují.</t>
    </r>
  </si>
  <si>
    <t>Část 11 (str. 187)</t>
  </si>
  <si>
    <t>Část 12 (str. 190)</t>
  </si>
  <si>
    <r>
      <t>Koeficient beta, proměnlivý CK a daňová sazba, n</t>
    </r>
    <r>
      <rPr>
        <b/>
        <vertAlign val="subscript"/>
        <sz val="12"/>
        <color rgb="FFFF0000"/>
        <rFont val="Times New Roman CE"/>
        <charset val="238"/>
      </rPr>
      <t>CK</t>
    </r>
    <r>
      <rPr>
        <b/>
        <sz val="12"/>
        <color rgb="FFFF0000"/>
        <rFont val="Times New Roman CE"/>
        <family val="1"/>
        <charset val="238"/>
      </rPr>
      <t xml:space="preserve"> &gt; r</t>
    </r>
    <r>
      <rPr>
        <b/>
        <vertAlign val="subscript"/>
        <sz val="12"/>
        <color rgb="FFFF0000"/>
        <rFont val="Times New Roman CE"/>
        <charset val="238"/>
      </rPr>
      <t>f</t>
    </r>
  </si>
  <si>
    <t>Reagenční funkce pro proměnlivý CK, struktura vyladěná iteracemi</t>
  </si>
  <si>
    <t>DS převzaté z metody DCF APV</t>
  </si>
  <si>
    <t>Po doplnění bety cizího kapitálu a použití reagenční funkce s veličinou DS</t>
  </si>
  <si>
    <r>
      <t>se ocenění při přepočtu n</t>
    </r>
    <r>
      <rPr>
        <vertAlign val="subscript"/>
        <sz val="12"/>
        <rFont val="Times New Roman CE"/>
        <charset val="238"/>
      </rPr>
      <t>VK</t>
    </r>
    <r>
      <rPr>
        <sz val="12"/>
        <rFont val="Times New Roman CE"/>
        <charset val="238"/>
      </rPr>
      <t xml:space="preserve"> i při přepočtu bety shodují i při proměnlivých</t>
    </r>
  </si>
  <si>
    <t>Část 13 (str. 193)</t>
  </si>
  <si>
    <t>struktura vyladěná iteracemi</t>
  </si>
  <si>
    <r>
      <t>Reagenční funkce pro diskontování daňových štítů n</t>
    </r>
    <r>
      <rPr>
        <b/>
        <vertAlign val="subscript"/>
        <sz val="12"/>
        <color rgb="FFFF0000"/>
        <rFont val="Times New Roman CE"/>
        <charset val="238"/>
      </rPr>
      <t>VK(n)</t>
    </r>
  </si>
  <si>
    <r>
      <t>Koeficient beta, proměnlivý CK a daňová sazba, n</t>
    </r>
    <r>
      <rPr>
        <b/>
        <vertAlign val="subscript"/>
        <sz val="12"/>
        <color rgb="FFFF0000"/>
        <rFont val="Times New Roman CE"/>
        <charset val="238"/>
      </rPr>
      <t>CK</t>
    </r>
    <r>
      <rPr>
        <b/>
        <sz val="12"/>
        <color rgb="FFFF0000"/>
        <rFont val="Times New Roman CE"/>
        <family val="1"/>
        <charset val="238"/>
      </rPr>
      <t xml:space="preserve"> &gt; r</t>
    </r>
    <r>
      <rPr>
        <b/>
        <vertAlign val="subscript"/>
        <sz val="12"/>
        <color rgb="FFFF0000"/>
        <rFont val="Times New Roman CE"/>
        <charset val="238"/>
      </rPr>
      <t>f</t>
    </r>
    <r>
      <rPr>
        <b/>
        <sz val="12"/>
        <color rgb="FFFF0000"/>
        <rFont val="Times New Roman CE"/>
        <charset val="238"/>
      </rPr>
      <t>, daňové štíty diskontovány n</t>
    </r>
    <r>
      <rPr>
        <b/>
        <vertAlign val="subscript"/>
        <sz val="12"/>
        <color rgb="FFFF0000"/>
        <rFont val="Times New Roman CE"/>
        <charset val="238"/>
      </rPr>
      <t>VK(n)</t>
    </r>
  </si>
  <si>
    <t>Diskontní míra pro DS</t>
  </si>
  <si>
    <t>SH daňového štítu (DS)</t>
  </si>
  <si>
    <t>viz plán</t>
  </si>
  <si>
    <t>Část 14 (str. 195)</t>
  </si>
  <si>
    <r>
      <t>Koeficient beta, proměnlivý CK a daňová sazba, n</t>
    </r>
    <r>
      <rPr>
        <b/>
        <vertAlign val="subscript"/>
        <sz val="12"/>
        <color rgb="FFFF0000"/>
        <rFont val="Times New Roman CE"/>
        <charset val="238"/>
      </rPr>
      <t>CK</t>
    </r>
    <r>
      <rPr>
        <b/>
        <sz val="12"/>
        <color rgb="FFFF0000"/>
        <rFont val="Times New Roman CE"/>
        <family val="1"/>
        <charset val="238"/>
      </rPr>
      <t xml:space="preserve"> &gt; r</t>
    </r>
    <r>
      <rPr>
        <b/>
        <vertAlign val="subscript"/>
        <sz val="12"/>
        <color rgb="FFFF0000"/>
        <rFont val="Times New Roman CE"/>
        <charset val="238"/>
      </rPr>
      <t>f</t>
    </r>
    <r>
      <rPr>
        <b/>
        <sz val="12"/>
        <color rgb="FFFF0000"/>
        <rFont val="Times New Roman CE"/>
        <charset val="238"/>
      </rPr>
      <t>, daňové štíty diskontovány individuálně zvolenou diskontní mírou</t>
    </r>
  </si>
  <si>
    <t>Univerzální reagenční funkce, struktura vyladěná iteracemi</t>
  </si>
  <si>
    <t>OCENĚNÍ - PŘEPOČET NÁKLADŮ VK (z části 4):</t>
  </si>
  <si>
    <t>OCENĚNÍ - PŘEPOČET NÁKLADŮ VK (z části 5):</t>
  </si>
  <si>
    <t>OCENĚNÍ - PŘEPOČET NÁKLADŮ VK (z části 9):</t>
  </si>
  <si>
    <r>
      <t>β</t>
    </r>
    <r>
      <rPr>
        <vertAlign val="subscript"/>
        <sz val="12"/>
        <rFont val="Times New Roman CE"/>
        <charset val="238"/>
      </rPr>
      <t>DS</t>
    </r>
  </si>
  <si>
    <t>veličinách a nenulovém růstu ve 2. fázi.</t>
  </si>
  <si>
    <t>Při použití odpovídající reagenční funkce se ocenění při přepočtu</t>
  </si>
  <si>
    <r>
      <t>n</t>
    </r>
    <r>
      <rPr>
        <vertAlign val="subscript"/>
        <sz val="12"/>
        <rFont val="Times New Roman CE"/>
        <charset val="238"/>
      </rPr>
      <t>VK</t>
    </r>
    <r>
      <rPr>
        <sz val="12"/>
        <rFont val="Times New Roman CE"/>
        <charset val="238"/>
      </rPr>
      <t xml:space="preserve"> i při přepočtu bety shodují.</t>
    </r>
  </si>
  <si>
    <t>Při použití univerzální reagenční funkce a doplnění bety daňového štítu</t>
  </si>
  <si>
    <r>
      <t>se ocenění při přepočtu n</t>
    </r>
    <r>
      <rPr>
        <vertAlign val="subscript"/>
        <sz val="12"/>
        <rFont val="Times New Roman CE"/>
        <charset val="238"/>
      </rPr>
      <t>VK</t>
    </r>
    <r>
      <rPr>
        <sz val="12"/>
        <rFont val="Times New Roman CE"/>
        <charset val="238"/>
      </rPr>
      <t xml:space="preserve"> i při přepočtu bety opět shodují.</t>
    </r>
  </si>
  <si>
    <t>Diskontní míry pro DS viz metoda DCF APV níže</t>
  </si>
  <si>
    <r>
      <t>Ve</t>
    </r>
    <r>
      <rPr>
        <b/>
        <sz val="10"/>
        <rFont val="Arial"/>
        <family val="2"/>
        <charset val="238"/>
      </rPr>
      <t xml:space="preserve"> žlutě vyznačených buňkách</t>
    </r>
    <r>
      <rPr>
        <sz val="10"/>
        <rFont val="Arial"/>
        <family val="2"/>
        <charset val="238"/>
      </rPr>
      <t xml:space="preserve"> se nacházejí vstupní data, která je možno měnit.</t>
    </r>
  </si>
  <si>
    <r>
      <rPr>
        <b/>
        <sz val="10"/>
        <rFont val="Arial"/>
        <family val="2"/>
        <charset val="238"/>
      </rPr>
      <t>Jiné barvy</t>
    </r>
    <r>
      <rPr>
        <sz val="10"/>
        <rFont val="Arial"/>
        <family val="2"/>
        <charset val="238"/>
      </rPr>
      <t xml:space="preserve"> než žlutá slouží ke zdůraznění veličin klíčových pro danou část příkladu.</t>
    </r>
  </si>
  <si>
    <t>V pravém horním rohu každého listu je pak hypertextový odkaz "Skok na obsah", na který je možné</t>
  </si>
  <si>
    <t>klepnout a rychle se tak vrátit na tento výchozí list s obsahem.</t>
  </si>
  <si>
    <t xml:space="preserve">První záložka Soubor (nebo kulaté tlačítko Office v levém horním rohu u verze 2007) </t>
  </si>
  <si>
    <t xml:space="preserve"> - Možnosti aplikace Excel - Vzorce - zatrhnout políčko Povolit iterativní přepočet</t>
  </si>
  <si>
    <t>Komentář</t>
  </si>
  <si>
    <t>Část příkladu</t>
  </si>
  <si>
    <t>Název listu</t>
  </si>
  <si>
    <r>
      <rPr>
        <b/>
        <sz val="10"/>
        <rFont val="Arial CE"/>
        <charset val="238"/>
      </rPr>
      <t>Klepnutím na název listu v obsahu</t>
    </r>
    <r>
      <rPr>
        <sz val="10"/>
        <rFont val="Arial CE"/>
        <family val="2"/>
        <charset val="238"/>
      </rPr>
      <t xml:space="preserve"> se seznamem listů lze rychle přejít na požadovanou část příkladu.</t>
    </r>
  </si>
  <si>
    <t>Strana knihy</t>
  </si>
  <si>
    <t>MM, cílová struktura</t>
  </si>
  <si>
    <t>Skok na obsah</t>
  </si>
  <si>
    <t>MM, stabilita, iterace</t>
  </si>
  <si>
    <t>MM, růst, iterace</t>
  </si>
  <si>
    <t>Modif. funce</t>
  </si>
  <si>
    <t>Nejisté DS</t>
  </si>
  <si>
    <t>Nejisté DS od 2. roku</t>
  </si>
  <si>
    <t>Jisté DS+Miles-Ezzel</t>
  </si>
  <si>
    <t>Univerzální reagenční funkce</t>
  </si>
  <si>
    <t>Beta - stabilní CK</t>
  </si>
  <si>
    <t>10a</t>
  </si>
  <si>
    <t>10b</t>
  </si>
  <si>
    <t>Beta - stabilní CK, nCK=rf</t>
  </si>
  <si>
    <t>Beta - stabilní CK, nCK&gt;rf</t>
  </si>
  <si>
    <t>Beta - proměnlivý CK, nCK&gt;rf</t>
  </si>
  <si>
    <t>Beta - DS diskontovány nVKn</t>
  </si>
  <si>
    <t>Beta - univerzální funkce</t>
  </si>
  <si>
    <t>Kapitálová struktura a reagenční funkce pro náklady VK</t>
  </si>
  <si>
    <t>Reagenční funkce pro koeficient beta</t>
  </si>
  <si>
    <t>Model MM bez růstu, cílová struktura</t>
  </si>
  <si>
    <t>Model MM bez růstu, vyladěná struktura (iterace)</t>
  </si>
  <si>
    <t>Model MM s růstem, vyladěná struktura (iterace)</t>
  </si>
  <si>
    <t>Modifikovaná funkce pro měnící se CK a růst</t>
  </si>
  <si>
    <r>
      <t>Daňové štíty diskontované n</t>
    </r>
    <r>
      <rPr>
        <vertAlign val="subscript"/>
        <sz val="10"/>
        <rFont val="Arial"/>
        <family val="2"/>
        <charset val="238"/>
      </rPr>
      <t>VK(n)</t>
    </r>
  </si>
  <si>
    <r>
      <t>Daňové štíty diskontované v 1.roce n</t>
    </r>
    <r>
      <rPr>
        <vertAlign val="subscript"/>
        <sz val="10"/>
        <rFont val="Arial"/>
        <family val="2"/>
        <charset val="238"/>
      </rPr>
      <t>CK</t>
    </r>
    <r>
      <rPr>
        <sz val="10"/>
        <rFont val="Arial"/>
        <family val="2"/>
        <charset val="238"/>
      </rPr>
      <t xml:space="preserve"> a dál n</t>
    </r>
    <r>
      <rPr>
        <vertAlign val="subscript"/>
        <sz val="10"/>
        <rFont val="Arial"/>
        <family val="2"/>
        <charset val="238"/>
      </rPr>
      <t>VK(n)</t>
    </r>
  </si>
  <si>
    <t>Funkce Miles-Ezzel pro 2. fázi</t>
  </si>
  <si>
    <r>
      <t>Univerzální reagenční funkce pro n</t>
    </r>
    <r>
      <rPr>
        <vertAlign val="subscript"/>
        <sz val="10"/>
        <rFont val="Arial"/>
        <family val="2"/>
        <charset val="238"/>
      </rPr>
      <t>VK(z)</t>
    </r>
  </si>
  <si>
    <t>Nejrozšířenější a nejméně vhodná funkce pro beta</t>
  </si>
  <si>
    <t>Výchozí příklad za předpokladu bezrizikového CK</t>
  </si>
  <si>
    <t>Funkce s betou dluhu při stabilním CK</t>
  </si>
  <si>
    <t>Funkce s betou dluhu při proměnlivém CK a růstu</t>
  </si>
  <si>
    <r>
      <t>Funkce s betou dluhu, daň. štíty diskontované n</t>
    </r>
    <r>
      <rPr>
        <vertAlign val="subscript"/>
        <sz val="10"/>
        <rFont val="Arial"/>
        <family val="2"/>
        <charset val="238"/>
      </rPr>
      <t>VK(n)</t>
    </r>
  </si>
  <si>
    <t>Univerzální reagenční funkce pro betu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</si>
</sst>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2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color indexed="16"/>
      <name val="Times New Roman CE"/>
      <family val="1"/>
      <charset val="238"/>
    </font>
    <font>
      <b/>
      <sz val="12"/>
      <color indexed="50"/>
      <name val="Times New Roman CE"/>
      <charset val="238"/>
    </font>
    <font>
      <b/>
      <sz val="12"/>
      <color indexed="37"/>
      <name val="Times New Roman CE"/>
      <charset val="238"/>
    </font>
    <font>
      <sz val="12"/>
      <color indexed="18"/>
      <name val="Times New Roman CE"/>
      <family val="1"/>
      <charset val="238"/>
    </font>
    <font>
      <b/>
      <sz val="12"/>
      <color indexed="17"/>
      <name val="Times New Roman CE"/>
      <charset val="238"/>
    </font>
    <font>
      <sz val="12"/>
      <color indexed="8"/>
      <name val="Times New Roman CE"/>
      <family val="1"/>
      <charset val="238"/>
    </font>
    <font>
      <b/>
      <sz val="12"/>
      <color indexed="17"/>
      <name val="Times New Roman CE"/>
      <family val="1"/>
      <charset val="238"/>
    </font>
    <font>
      <sz val="8"/>
      <name val="Times New Roman CE"/>
      <charset val="238"/>
    </font>
    <font>
      <b/>
      <sz val="12"/>
      <color indexed="16"/>
      <name val="Times New Roman CE"/>
      <charset val="238"/>
    </font>
    <font>
      <b/>
      <sz val="12"/>
      <color indexed="16"/>
      <name val="Times New Roman CE"/>
      <family val="1"/>
      <charset val="238"/>
    </font>
    <font>
      <sz val="12"/>
      <color indexed="18"/>
      <name val="Times New Roman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4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sz val="12"/>
      <color indexed="12"/>
      <name val="Times New Roman"/>
      <family val="1"/>
      <charset val="238"/>
    </font>
    <font>
      <vertAlign val="subscript"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theme="4"/>
      <name val="Times New Roman CE"/>
      <charset val="238"/>
    </font>
    <font>
      <b/>
      <vertAlign val="subscript"/>
      <sz val="12"/>
      <color theme="4"/>
      <name val="Times New Roman CE"/>
      <charset val="238"/>
    </font>
    <font>
      <sz val="12"/>
      <color theme="4"/>
      <name val="Times New Roman CE"/>
      <charset val="238"/>
    </font>
    <font>
      <b/>
      <vertAlign val="subscript"/>
      <sz val="12"/>
      <color indexed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FF0000"/>
      <name val="Times New Roman CE"/>
      <charset val="238"/>
    </font>
    <font>
      <b/>
      <sz val="12"/>
      <color theme="4" tint="-0.249977111117893"/>
      <name val="Times New Roman CE"/>
      <charset val="238"/>
    </font>
    <font>
      <b/>
      <vertAlign val="subscript"/>
      <sz val="12"/>
      <color theme="4" tint="-0.249977111117893"/>
      <name val="Times New Roman CE"/>
      <charset val="238"/>
    </font>
    <font>
      <sz val="12"/>
      <name val="Calibri"/>
      <family val="2"/>
      <charset val="238"/>
    </font>
    <font>
      <i/>
      <sz val="12"/>
      <name val="Times New Roman CE"/>
      <charset val="238"/>
    </font>
    <font>
      <b/>
      <vertAlign val="subscript"/>
      <sz val="12"/>
      <color rgb="FFFF0000"/>
      <name val="Times New Roman CE"/>
      <charset val="238"/>
    </font>
    <font>
      <sz val="12"/>
      <name val="Times New Roman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u/>
      <sz val="12"/>
      <color theme="10"/>
      <name val="Times New Roman CE"/>
      <charset val="238"/>
    </font>
    <font>
      <u/>
      <sz val="10"/>
      <color theme="10"/>
      <name val="Arial"/>
      <family val="2"/>
      <charset val="238"/>
    </font>
    <font>
      <b/>
      <sz val="10"/>
      <color rgb="FFFF0000"/>
      <name val="Arial CE"/>
      <family val="2"/>
      <charset val="238"/>
    </font>
    <font>
      <vertAlign val="subscript"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4" fillId="0" borderId="0"/>
    <xf numFmtId="0" fontId="43" fillId="0" borderId="0" applyNumberForma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164" fontId="0" fillId="0" borderId="0" xfId="1" applyNumberFormat="1" applyFont="1"/>
    <xf numFmtId="0" fontId="7" fillId="0" borderId="0" xfId="0" applyFont="1"/>
    <xf numFmtId="2" fontId="7" fillId="0" borderId="0" xfId="0" applyNumberFormat="1" applyFont="1"/>
    <xf numFmtId="9" fontId="2" fillId="0" borderId="0" xfId="1"/>
    <xf numFmtId="164" fontId="1" fillId="0" borderId="0" xfId="0" applyNumberFormat="1" applyFont="1"/>
    <xf numFmtId="0" fontId="1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2" fontId="0" fillId="0" borderId="4" xfId="0" applyNumberFormat="1" applyBorder="1"/>
    <xf numFmtId="0" fontId="7" fillId="0" borderId="7" xfId="0" applyFont="1" applyBorder="1"/>
    <xf numFmtId="2" fontId="7" fillId="0" borderId="4" xfId="0" applyNumberFormat="1" applyFont="1" applyBorder="1"/>
    <xf numFmtId="0" fontId="0" fillId="0" borderId="5" xfId="0" applyBorder="1"/>
    <xf numFmtId="10" fontId="2" fillId="0" borderId="4" xfId="1" applyNumberFormat="1" applyBorder="1"/>
    <xf numFmtId="10" fontId="2" fillId="0" borderId="2" xfId="1" applyNumberFormat="1" applyBorder="1"/>
    <xf numFmtId="10" fontId="2" fillId="0" borderId="3" xfId="1" applyNumberFormat="1" applyBorder="1"/>
    <xf numFmtId="2" fontId="0" fillId="0" borderId="3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9" fontId="2" fillId="0" borderId="6" xfId="1" applyFont="1" applyBorder="1"/>
    <xf numFmtId="2" fontId="1" fillId="0" borderId="7" xfId="0" applyNumberFormat="1" applyFont="1" applyBorder="1"/>
    <xf numFmtId="164" fontId="2" fillId="0" borderId="3" xfId="1" applyNumberFormat="1" applyBorder="1"/>
    <xf numFmtId="164" fontId="2" fillId="0" borderId="4" xfId="1" applyNumberFormat="1" applyBorder="1"/>
    <xf numFmtId="164" fontId="2" fillId="0" borderId="2" xfId="1" applyNumberFormat="1" applyBorder="1"/>
    <xf numFmtId="0" fontId="1" fillId="0" borderId="7" xfId="0" applyFont="1" applyBorder="1"/>
    <xf numFmtId="2" fontId="1" fillId="0" borderId="4" xfId="0" applyNumberFormat="1" applyFont="1" applyBorder="1"/>
    <xf numFmtId="10" fontId="2" fillId="0" borderId="1" xfId="1" applyNumberFormat="1" applyBorder="1"/>
    <xf numFmtId="2" fontId="1" fillId="0" borderId="8" xfId="0" applyNumberFormat="1" applyFont="1" applyBorder="1"/>
    <xf numFmtId="2" fontId="0" fillId="0" borderId="7" xfId="0" applyNumberFormat="1" applyBorder="1"/>
    <xf numFmtId="0" fontId="7" fillId="0" borderId="6" xfId="0" applyFont="1" applyBorder="1"/>
    <xf numFmtId="2" fontId="7" fillId="0" borderId="3" xfId="0" applyNumberFormat="1" applyFont="1" applyBorder="1"/>
    <xf numFmtId="2" fontId="11" fillId="0" borderId="4" xfId="0" applyNumberFormat="1" applyFont="1" applyBorder="1"/>
    <xf numFmtId="2" fontId="1" fillId="0" borderId="0" xfId="0" applyNumberFormat="1" applyFont="1"/>
    <xf numFmtId="2" fontId="4" fillId="0" borderId="0" xfId="0" applyNumberFormat="1" applyFont="1"/>
    <xf numFmtId="0" fontId="2" fillId="0" borderId="6" xfId="0" applyFont="1" applyBorder="1"/>
    <xf numFmtId="2" fontId="2" fillId="0" borderId="3" xfId="0" applyNumberFormat="1" applyFont="1" applyBorder="1"/>
    <xf numFmtId="10" fontId="2" fillId="0" borderId="0" xfId="1" applyNumberFormat="1" applyFill="1" applyBorder="1"/>
    <xf numFmtId="2" fontId="11" fillId="0" borderId="0" xfId="0" applyNumberFormat="1" applyFont="1"/>
    <xf numFmtId="2" fontId="0" fillId="0" borderId="0" xfId="0" applyNumberFormat="1"/>
    <xf numFmtId="0" fontId="13" fillId="0" borderId="0" xfId="0" applyFont="1"/>
    <xf numFmtId="0" fontId="14" fillId="0" borderId="0" xfId="2"/>
    <xf numFmtId="0" fontId="17" fillId="0" borderId="0" xfId="2" applyFont="1"/>
    <xf numFmtId="0" fontId="18" fillId="0" borderId="0" xfId="2" applyFont="1"/>
    <xf numFmtId="0" fontId="20" fillId="0" borderId="0" xfId="0" applyFont="1"/>
    <xf numFmtId="0" fontId="18" fillId="0" borderId="0" xfId="0" applyFont="1"/>
    <xf numFmtId="0" fontId="14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24" fillId="0" borderId="0" xfId="0" applyFont="1"/>
    <xf numFmtId="0" fontId="3" fillId="0" borderId="0" xfId="0" applyFont="1"/>
    <xf numFmtId="10" fontId="2" fillId="4" borderId="1" xfId="1" applyNumberFormat="1" applyFill="1" applyBorder="1"/>
    <xf numFmtId="0" fontId="0" fillId="0" borderId="9" xfId="0" applyBorder="1"/>
    <xf numFmtId="0" fontId="26" fillId="0" borderId="9" xfId="0" applyFont="1" applyBorder="1"/>
    <xf numFmtId="10" fontId="2" fillId="4" borderId="6" xfId="1" applyNumberFormat="1" applyFill="1" applyBorder="1"/>
    <xf numFmtId="10" fontId="26" fillId="4" borderId="6" xfId="1" applyNumberFormat="1" applyFont="1" applyFill="1" applyBorder="1"/>
    <xf numFmtId="10" fontId="2" fillId="4" borderId="7" xfId="1" applyNumberFormat="1" applyFill="1" applyBorder="1"/>
    <xf numFmtId="0" fontId="0" fillId="0" borderId="11" xfId="0" applyBorder="1"/>
    <xf numFmtId="2" fontId="0" fillId="4" borderId="3" xfId="0" applyNumberFormat="1" applyFill="1" applyBorder="1"/>
    <xf numFmtId="2" fontId="1" fillId="4" borderId="8" xfId="0" applyNumberFormat="1" applyFont="1" applyFill="1" applyBorder="1"/>
    <xf numFmtId="164" fontId="2" fillId="0" borderId="3" xfId="1" applyNumberFormat="1" applyFont="1" applyBorder="1"/>
    <xf numFmtId="164" fontId="2" fillId="0" borderId="4" xfId="1" applyNumberFormat="1" applyFont="1" applyBorder="1"/>
    <xf numFmtId="2" fontId="0" fillId="4" borderId="2" xfId="0" applyNumberFormat="1" applyFill="1" applyBorder="1"/>
    <xf numFmtId="0" fontId="26" fillId="0" borderId="5" xfId="0" applyFont="1" applyBorder="1"/>
    <xf numFmtId="10" fontId="26" fillId="0" borderId="2" xfId="1" applyNumberFormat="1" applyFont="1" applyBorder="1"/>
    <xf numFmtId="0" fontId="26" fillId="0" borderId="6" xfId="0" applyFont="1" applyBorder="1"/>
    <xf numFmtId="10" fontId="26" fillId="0" borderId="3" xfId="1" applyNumberFormat="1" applyFont="1" applyBorder="1"/>
    <xf numFmtId="0" fontId="27" fillId="0" borderId="5" xfId="0" applyFont="1" applyBorder="1"/>
    <xf numFmtId="10" fontId="27" fillId="0" borderId="2" xfId="1" applyNumberFormat="1" applyFont="1" applyBorder="1"/>
    <xf numFmtId="0" fontId="27" fillId="0" borderId="1" xfId="0" applyFont="1" applyBorder="1"/>
    <xf numFmtId="10" fontId="27" fillId="0" borderId="8" xfId="1" applyNumberFormat="1" applyFont="1" applyBorder="1"/>
    <xf numFmtId="2" fontId="2" fillId="0" borderId="0" xfId="0" applyNumberFormat="1" applyFont="1"/>
    <xf numFmtId="0" fontId="11" fillId="5" borderId="7" xfId="0" applyFont="1" applyFill="1" applyBorder="1"/>
    <xf numFmtId="2" fontId="11" fillId="5" borderId="4" xfId="0" applyNumberFormat="1" applyFont="1" applyFill="1" applyBorder="1"/>
    <xf numFmtId="9" fontId="0" fillId="0" borderId="6" xfId="1" applyFont="1" applyBorder="1"/>
    <xf numFmtId="0" fontId="11" fillId="5" borderId="1" xfId="0" applyFont="1" applyFill="1" applyBorder="1"/>
    <xf numFmtId="2" fontId="11" fillId="5" borderId="8" xfId="0" applyNumberFormat="1" applyFont="1" applyFill="1" applyBorder="1"/>
    <xf numFmtId="2" fontId="11" fillId="0" borderId="8" xfId="0" applyNumberFormat="1" applyFont="1" applyBorder="1"/>
    <xf numFmtId="9" fontId="0" fillId="0" borderId="7" xfId="1" applyFont="1" applyBorder="1"/>
    <xf numFmtId="10" fontId="2" fillId="0" borderId="0" xfId="1" applyNumberFormat="1" applyFill="1"/>
    <xf numFmtId="10" fontId="3" fillId="0" borderId="0" xfId="1" applyNumberFormat="1" applyFont="1" applyFill="1"/>
    <xf numFmtId="2" fontId="0" fillId="0" borderId="8" xfId="0" applyNumberFormat="1" applyBorder="1"/>
    <xf numFmtId="2" fontId="1" fillId="0" borderId="1" xfId="0" applyNumberFormat="1" applyFont="1" applyBorder="1"/>
    <xf numFmtId="2" fontId="0" fillId="0" borderId="5" xfId="0" applyNumberFormat="1" applyBorder="1"/>
    <xf numFmtId="2" fontId="0" fillId="0" borderId="6" xfId="0" applyNumberFormat="1" applyBorder="1"/>
    <xf numFmtId="10" fontId="2" fillId="0" borderId="1" xfId="1" applyNumberFormat="1" applyFill="1" applyBorder="1"/>
    <xf numFmtId="10" fontId="2" fillId="0" borderId="5" xfId="1" applyNumberFormat="1" applyFill="1" applyBorder="1"/>
    <xf numFmtId="10" fontId="2" fillId="0" borderId="5" xfId="1" applyNumberFormat="1" applyFont="1" applyFill="1" applyBorder="1"/>
    <xf numFmtId="10" fontId="2" fillId="0" borderId="6" xfId="1" applyNumberFormat="1" applyFont="1" applyFill="1" applyBorder="1"/>
    <xf numFmtId="0" fontId="27" fillId="0" borderId="7" xfId="0" applyFont="1" applyBorder="1"/>
    <xf numFmtId="10" fontId="27" fillId="0" borderId="4" xfId="1" applyNumberFormat="1" applyFont="1" applyBorder="1"/>
    <xf numFmtId="2" fontId="1" fillId="0" borderId="11" xfId="0" applyNumberFormat="1" applyFont="1" applyBorder="1"/>
    <xf numFmtId="10" fontId="2" fillId="0" borderId="5" xfId="1" applyNumberFormat="1" applyBorder="1"/>
    <xf numFmtId="10" fontId="2" fillId="0" borderId="6" xfId="1" applyNumberFormat="1" applyBorder="1"/>
    <xf numFmtId="10" fontId="2" fillId="0" borderId="7" xfId="1" applyNumberFormat="1" applyBorder="1"/>
    <xf numFmtId="10" fontId="27" fillId="0" borderId="3" xfId="1" applyNumberFormat="1" applyFont="1" applyBorder="1"/>
    <xf numFmtId="10" fontId="27" fillId="0" borderId="1" xfId="1" applyNumberFormat="1" applyFont="1" applyBorder="1"/>
    <xf numFmtId="2" fontId="11" fillId="5" borderId="1" xfId="0" applyNumberFormat="1" applyFont="1" applyFill="1" applyBorder="1"/>
    <xf numFmtId="2" fontId="12" fillId="5" borderId="1" xfId="0" applyNumberFormat="1" applyFont="1" applyFill="1" applyBorder="1"/>
    <xf numFmtId="2" fontId="12" fillId="0" borderId="8" xfId="0" applyNumberFormat="1" applyFont="1" applyBorder="1"/>
    <xf numFmtId="2" fontId="2" fillId="0" borderId="2" xfId="0" applyNumberFormat="1" applyFont="1" applyBorder="1"/>
    <xf numFmtId="0" fontId="27" fillId="0" borderId="6" xfId="0" applyFont="1" applyBorder="1"/>
    <xf numFmtId="0" fontId="12" fillId="5" borderId="1" xfId="0" applyFont="1" applyFill="1" applyBorder="1"/>
    <xf numFmtId="2" fontId="12" fillId="5" borderId="8" xfId="0" applyNumberFormat="1" applyFont="1" applyFill="1" applyBorder="1"/>
    <xf numFmtId="10" fontId="0" fillId="0" borderId="7" xfId="1" applyNumberFormat="1" applyFont="1" applyFill="1" applyBorder="1" applyAlignment="1">
      <alignment horizontal="right"/>
    </xf>
    <xf numFmtId="164" fontId="0" fillId="4" borderId="4" xfId="1" applyNumberFormat="1" applyFont="1" applyFill="1" applyBorder="1"/>
    <xf numFmtId="164" fontId="2" fillId="4" borderId="4" xfId="1" applyNumberFormat="1" applyFont="1" applyFill="1" applyBorder="1"/>
    <xf numFmtId="164" fontId="0" fillId="4" borderId="3" xfId="1" applyNumberFormat="1" applyFont="1" applyFill="1" applyBorder="1"/>
    <xf numFmtId="164" fontId="2" fillId="4" borderId="3" xfId="1" applyNumberFormat="1" applyFont="1" applyFill="1" applyBorder="1"/>
    <xf numFmtId="2" fontId="0" fillId="4" borderId="5" xfId="0" applyNumberFormat="1" applyFill="1" applyBorder="1"/>
    <xf numFmtId="2" fontId="0" fillId="4" borderId="6" xfId="0" applyNumberFormat="1" applyFill="1" applyBorder="1"/>
    <xf numFmtId="10" fontId="2" fillId="0" borderId="7" xfId="1" applyNumberFormat="1" applyFill="1" applyBorder="1"/>
    <xf numFmtId="0" fontId="1" fillId="0" borderId="0" xfId="0" applyFont="1" applyAlignment="1">
      <alignment horizontal="right"/>
    </xf>
    <xf numFmtId="164" fontId="4" fillId="0" borderId="0" xfId="1" applyNumberFormat="1" applyFont="1" applyBorder="1"/>
    <xf numFmtId="10" fontId="6" fillId="0" borderId="0" xfId="1" applyNumberFormat="1" applyFont="1" applyBorder="1"/>
    <xf numFmtId="10" fontId="2" fillId="0" borderId="0" xfId="1" applyNumberFormat="1" applyBorder="1"/>
    <xf numFmtId="10" fontId="8" fillId="0" borderId="0" xfId="1" applyNumberFormat="1" applyFont="1" applyBorder="1"/>
    <xf numFmtId="2" fontId="12" fillId="0" borderId="0" xfId="0" applyNumberFormat="1" applyFont="1"/>
    <xf numFmtId="164" fontId="2" fillId="0" borderId="0" xfId="1" applyNumberFormat="1" applyBorder="1"/>
    <xf numFmtId="10" fontId="0" fillId="0" borderId="0" xfId="1" applyNumberFormat="1" applyFont="1" applyFill="1"/>
    <xf numFmtId="2" fontId="0" fillId="0" borderId="10" xfId="0" applyNumberFormat="1" applyBorder="1"/>
    <xf numFmtId="0" fontId="29" fillId="0" borderId="7" xfId="0" applyFont="1" applyBorder="1"/>
    <xf numFmtId="164" fontId="29" fillId="0" borderId="3" xfId="1" applyNumberFormat="1" applyFont="1" applyBorder="1"/>
    <xf numFmtId="10" fontId="27" fillId="2" borderId="4" xfId="1" applyNumberFormat="1" applyFont="1" applyFill="1" applyBorder="1"/>
    <xf numFmtId="164" fontId="29" fillId="2" borderId="3" xfId="1" applyNumberFormat="1" applyFont="1" applyFill="1" applyBorder="1"/>
    <xf numFmtId="164" fontId="29" fillId="0" borderId="3" xfId="1" applyNumberFormat="1" applyFont="1" applyFill="1" applyBorder="1"/>
    <xf numFmtId="10" fontId="27" fillId="0" borderId="4" xfId="1" applyNumberFormat="1" applyFont="1" applyFill="1" applyBorder="1"/>
    <xf numFmtId="2" fontId="1" fillId="2" borderId="1" xfId="0" applyNumberFormat="1" applyFont="1" applyFill="1" applyBorder="1"/>
    <xf numFmtId="164" fontId="29" fillId="4" borderId="3" xfId="1" applyNumberFormat="1" applyFont="1" applyFill="1" applyBorder="1"/>
    <xf numFmtId="0" fontId="33" fillId="0" borderId="0" xfId="0" applyFont="1"/>
    <xf numFmtId="0" fontId="34" fillId="6" borderId="7" xfId="0" applyFont="1" applyFill="1" applyBorder="1"/>
    <xf numFmtId="10" fontId="34" fillId="6" borderId="4" xfId="1" applyNumberFormat="1" applyFont="1" applyFill="1" applyBorder="1"/>
    <xf numFmtId="9" fontId="0" fillId="0" borderId="0" xfId="0" applyNumberFormat="1"/>
    <xf numFmtId="164" fontId="2" fillId="0" borderId="0" xfId="1" applyNumberFormat="1" applyFont="1" applyFill="1"/>
    <xf numFmtId="9" fontId="2" fillId="0" borderId="0" xfId="1" applyFont="1" applyFill="1"/>
    <xf numFmtId="1" fontId="2" fillId="0" borderId="0" xfId="1" applyNumberFormat="1" applyFont="1" applyFill="1"/>
    <xf numFmtId="9" fontId="36" fillId="0" borderId="0" xfId="1" applyFont="1" applyFill="1"/>
    <xf numFmtId="10" fontId="2" fillId="0" borderId="1" xfId="1" applyNumberFormat="1" applyFont="1" applyFill="1" applyBorder="1"/>
    <xf numFmtId="1" fontId="2" fillId="0" borderId="6" xfId="1" applyNumberFormat="1" applyFont="1" applyFill="1" applyBorder="1"/>
    <xf numFmtId="0" fontId="37" fillId="0" borderId="0" xfId="0" applyFont="1"/>
    <xf numFmtId="0" fontId="0" fillId="0" borderId="2" xfId="0" applyBorder="1"/>
    <xf numFmtId="2" fontId="34" fillId="6" borderId="7" xfId="0" applyNumberFormat="1" applyFont="1" applyFill="1" applyBorder="1"/>
    <xf numFmtId="2" fontId="34" fillId="6" borderId="4" xfId="0" applyNumberFormat="1" applyFont="1" applyFill="1" applyBorder="1"/>
    <xf numFmtId="0" fontId="0" fillId="6" borderId="11" xfId="0" applyFill="1" applyBorder="1"/>
    <xf numFmtId="10" fontId="2" fillId="6" borderId="1" xfId="1" applyNumberFormat="1" applyFont="1" applyFill="1" applyBorder="1"/>
    <xf numFmtId="0" fontId="39" fillId="0" borderId="5" xfId="0" applyFont="1" applyBorder="1"/>
    <xf numFmtId="0" fontId="0" fillId="6" borderId="5" xfId="0" applyFill="1" applyBorder="1"/>
    <xf numFmtId="2" fontId="0" fillId="6" borderId="5" xfId="0" applyNumberFormat="1" applyFill="1" applyBorder="1"/>
    <xf numFmtId="0" fontId="0" fillId="6" borderId="6" xfId="0" applyFill="1" applyBorder="1"/>
    <xf numFmtId="164" fontId="2" fillId="6" borderId="3" xfId="1" applyNumberFormat="1" applyFill="1" applyBorder="1"/>
    <xf numFmtId="0" fontId="0" fillId="6" borderId="7" xfId="0" applyFill="1" applyBorder="1"/>
    <xf numFmtId="164" fontId="2" fillId="6" borderId="4" xfId="1" applyNumberFormat="1" applyFill="1" applyBorder="1"/>
    <xf numFmtId="10" fontId="2" fillId="6" borderId="1" xfId="1" applyNumberFormat="1" applyFill="1" applyBorder="1"/>
    <xf numFmtId="164" fontId="2" fillId="0" borderId="3" xfId="1" applyNumberFormat="1" applyFill="1" applyBorder="1"/>
    <xf numFmtId="164" fontId="2" fillId="0" borderId="4" xfId="1" applyNumberFormat="1" applyFill="1" applyBorder="1"/>
    <xf numFmtId="9" fontId="0" fillId="6" borderId="6" xfId="1" applyFont="1" applyFill="1" applyBorder="1"/>
    <xf numFmtId="9" fontId="0" fillId="6" borderId="3" xfId="1" applyFont="1" applyFill="1" applyBorder="1"/>
    <xf numFmtId="10" fontId="2" fillId="0" borderId="1" xfId="1" applyNumberFormat="1" applyFill="1" applyBorder="1" applyAlignment="1">
      <alignment horizontal="center"/>
    </xf>
    <xf numFmtId="0" fontId="0" fillId="6" borderId="0" xfId="0" applyFill="1"/>
    <xf numFmtId="10" fontId="2" fillId="4" borderId="6" xfId="1" applyNumberFormat="1" applyFont="1" applyFill="1" applyBorder="1"/>
    <xf numFmtId="1" fontId="2" fillId="4" borderId="6" xfId="1" applyNumberFormat="1" applyFont="1" applyFill="1" applyBorder="1"/>
    <xf numFmtId="0" fontId="42" fillId="0" borderId="0" xfId="0" applyFont="1"/>
    <xf numFmtId="0" fontId="40" fillId="7" borderId="8" xfId="0" applyFont="1" applyFill="1" applyBorder="1" applyAlignment="1">
      <alignment vertical="center" wrapText="1"/>
    </xf>
    <xf numFmtId="0" fontId="40" fillId="7" borderId="1" xfId="0" applyFont="1" applyFill="1" applyBorder="1" applyAlignment="1">
      <alignment vertical="center" wrapText="1"/>
    </xf>
    <xf numFmtId="0" fontId="43" fillId="0" borderId="0" xfId="3"/>
    <xf numFmtId="0" fontId="44" fillId="0" borderId="0" xfId="3" applyFont="1"/>
    <xf numFmtId="0" fontId="40" fillId="7" borderId="1" xfId="0" applyFont="1" applyFill="1" applyBorder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44" fillId="0" borderId="5" xfId="3" applyFont="1" applyBorder="1"/>
    <xf numFmtId="0" fontId="44" fillId="0" borderId="6" xfId="3" applyFont="1" applyBorder="1"/>
    <xf numFmtId="0" fontId="44" fillId="0" borderId="7" xfId="3" applyFont="1" applyBorder="1"/>
    <xf numFmtId="0" fontId="14" fillId="0" borderId="5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9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">
    <cellStyle name="Hypertextový odkaz" xfId="3" builtinId="8"/>
    <cellStyle name="Normální" xfId="0" builtinId="0"/>
    <cellStyle name="normální_DM_2007_01_Iterace" xfId="2" xr:uid="{00000000-0005-0000-0000-000001000000}"/>
    <cellStyle name="Procent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Chyba v H netto v závislosti na dani pro různé náklady VK nezadlužené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'1-MM, cílová struktura'!#REF!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006-4FF1-B4A3-D2709952211D}"/>
            </c:ext>
          </c:extLst>
        </c:ser>
        <c:ser>
          <c:idx val="1"/>
          <c:order val="1"/>
          <c:spPr>
            <a:ln w="25400">
              <a:solidFill>
                <a:srgbClr val="96969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'1-MM, cílová struktura'!#REF!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006-4FF1-B4A3-D2709952211D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'1-MM, cílová struktura'!#REF!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006-4FF1-B4A3-D2709952211D}"/>
            </c:ext>
          </c:extLst>
        </c:ser>
        <c:ser>
          <c:idx val="3"/>
          <c:order val="3"/>
          <c:spPr>
            <a:ln w="25400">
              <a:solidFill>
                <a:srgbClr val="969696"/>
              </a:solidFill>
              <a:prstDash val="solid"/>
            </a:ln>
          </c:spPr>
          <c:marker>
            <c:symbol val="x"/>
            <c:size val="10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'1-MM, cílová struktura'!#REF!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006-4FF1-B4A3-D2709952211D}"/>
            </c:ext>
          </c:extLst>
        </c:ser>
        <c:ser>
          <c:idx val="4"/>
          <c:order val="4"/>
          <c:spPr>
            <a:ln w="25400">
              <a:solidFill>
                <a:srgbClr val="424242"/>
              </a:solidFill>
              <a:prstDash val="solid"/>
            </a:ln>
          </c:spPr>
          <c:marker>
            <c:symbol val="star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'1-MM, cílová struktura'!#REF!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'1-MM, cílová struktura'!#REF!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3006-4FF1-B4A3-D27099522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24832"/>
        <c:axId val="117627520"/>
      </c:scatterChart>
      <c:valAx>
        <c:axId val="117624832"/>
        <c:scaling>
          <c:orientation val="minMax"/>
          <c:max val="0.4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Daňová sazba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7627520"/>
        <c:crosses val="autoZero"/>
        <c:crossBetween val="midCat"/>
      </c:valAx>
      <c:valAx>
        <c:axId val="1176275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Chyba v ocenění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7624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7</xdr:col>
      <xdr:colOff>0</xdr:colOff>
      <xdr:row>34</xdr:row>
      <xdr:rowOff>142875</xdr:rowOff>
    </xdr:to>
    <xdr:graphicFrame macro="">
      <xdr:nvGraphicFramePr>
        <xdr:cNvPr id="17470" name="Chart 1">
          <a:extLst>
            <a:ext uri="{FF2B5EF4-FFF2-40B4-BE49-F238E27FC236}">
              <a16:creationId xmlns:a16="http://schemas.microsoft.com/office/drawing/2014/main" id="{00000000-0008-0000-0100-00003E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219075</xdr:colOff>
          <xdr:row>22</xdr:row>
          <xdr:rowOff>76200</xdr:rowOff>
        </xdr:from>
        <xdr:to>
          <xdr:col>13</xdr:col>
          <xdr:colOff>533400</xdr:colOff>
          <xdr:row>24</xdr:row>
          <xdr:rowOff>66675</xdr:rowOff>
        </xdr:to>
        <xdr:sp macro="" textlink="">
          <xdr:nvSpPr>
            <xdr:cNvPr id="83969" name="Object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09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219075</xdr:colOff>
          <xdr:row>22</xdr:row>
          <xdr:rowOff>76200</xdr:rowOff>
        </xdr:from>
        <xdr:to>
          <xdr:col>13</xdr:col>
          <xdr:colOff>533400</xdr:colOff>
          <xdr:row>24</xdr:row>
          <xdr:rowOff>66675</xdr:rowOff>
        </xdr:to>
        <xdr:sp macro="" textlink="">
          <xdr:nvSpPr>
            <xdr:cNvPr id="86017" name="Object 1" hidden="1">
              <a:extLst>
                <a:ext uri="{63B3BB69-23CF-44E3-9099-C40C66FF867C}">
                  <a14:compatExt spid="_x0000_s86017"/>
                </a:ext>
                <a:ext uri="{FF2B5EF4-FFF2-40B4-BE49-F238E27FC236}">
                  <a16:creationId xmlns:a16="http://schemas.microsoft.com/office/drawing/2014/main" id="{00000000-0008-0000-0A00-00000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20</xdr:row>
          <xdr:rowOff>190500</xdr:rowOff>
        </xdr:from>
        <xdr:to>
          <xdr:col>15</xdr:col>
          <xdr:colOff>409575</xdr:colOff>
          <xdr:row>22</xdr:row>
          <xdr:rowOff>180975</xdr:rowOff>
        </xdr:to>
        <xdr:sp macro="" textlink="">
          <xdr:nvSpPr>
            <xdr:cNvPr id="84994" name="Object 2" hidden="1">
              <a:extLst>
                <a:ext uri="{63B3BB69-23CF-44E3-9099-C40C66FF867C}">
                  <a14:compatExt spid="_x0000_s84994"/>
                </a:ext>
                <a:ext uri="{FF2B5EF4-FFF2-40B4-BE49-F238E27FC236}">
                  <a16:creationId xmlns:a16="http://schemas.microsoft.com/office/drawing/2014/main" id="{00000000-0008-0000-0B00-00000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23</xdr:row>
          <xdr:rowOff>66675</xdr:rowOff>
        </xdr:from>
        <xdr:to>
          <xdr:col>14</xdr:col>
          <xdr:colOff>476250</xdr:colOff>
          <xdr:row>25</xdr:row>
          <xdr:rowOff>85725</xdr:rowOff>
        </xdr:to>
        <xdr:sp macro="" textlink="">
          <xdr:nvSpPr>
            <xdr:cNvPr id="84995" name="Object 3" hidden="1">
              <a:extLst>
                <a:ext uri="{63B3BB69-23CF-44E3-9099-C40C66FF867C}">
                  <a14:compatExt spid="_x0000_s84995"/>
                </a:ext>
                <a:ext uri="{FF2B5EF4-FFF2-40B4-BE49-F238E27FC236}">
                  <a16:creationId xmlns:a16="http://schemas.microsoft.com/office/drawing/2014/main" id="{00000000-0008-0000-0B00-00000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161925</xdr:colOff>
          <xdr:row>22</xdr:row>
          <xdr:rowOff>104775</xdr:rowOff>
        </xdr:from>
        <xdr:to>
          <xdr:col>14</xdr:col>
          <xdr:colOff>504825</xdr:colOff>
          <xdr:row>24</xdr:row>
          <xdr:rowOff>123825</xdr:rowOff>
        </xdr:to>
        <xdr:sp macro="" textlink="">
          <xdr:nvSpPr>
            <xdr:cNvPr id="87043" name="Object 3" hidden="1">
              <a:extLst>
                <a:ext uri="{63B3BB69-23CF-44E3-9099-C40C66FF867C}">
                  <a14:compatExt spid="_x0000_s87043"/>
                </a:ext>
                <a:ext uri="{FF2B5EF4-FFF2-40B4-BE49-F238E27FC236}">
                  <a16:creationId xmlns:a16="http://schemas.microsoft.com/office/drawing/2014/main" id="{00000000-0008-0000-0C00-00000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22</xdr:row>
          <xdr:rowOff>85725</xdr:rowOff>
        </xdr:from>
        <xdr:to>
          <xdr:col>14</xdr:col>
          <xdr:colOff>9525</xdr:colOff>
          <xdr:row>24</xdr:row>
          <xdr:rowOff>104775</xdr:rowOff>
        </xdr:to>
        <xdr:sp macro="" textlink="">
          <xdr:nvSpPr>
            <xdr:cNvPr id="88066" name="Object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D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22</xdr:row>
          <xdr:rowOff>133350</xdr:rowOff>
        </xdr:from>
        <xdr:to>
          <xdr:col>15</xdr:col>
          <xdr:colOff>619125</xdr:colOff>
          <xdr:row>24</xdr:row>
          <xdr:rowOff>114300</xdr:rowOff>
        </xdr:to>
        <xdr:sp macro="" textlink="">
          <xdr:nvSpPr>
            <xdr:cNvPr id="89090" name="Object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E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3.w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2.wmf"/><Relationship Id="rId4" Type="http://schemas.openxmlformats.org/officeDocument/2006/relationships/oleObject" Target="../embeddings/oleObject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4.wmf"/><Relationship Id="rId4" Type="http://schemas.openxmlformats.org/officeDocument/2006/relationships/oleObject" Target="../embeddings/oleObject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5.wmf"/><Relationship Id="rId4" Type="http://schemas.openxmlformats.org/officeDocument/2006/relationships/oleObject" Target="../embeddings/oleObject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6.wmf"/><Relationship Id="rId4" Type="http://schemas.openxmlformats.org/officeDocument/2006/relationships/oleObject" Target="../embeddings/oleObject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showGridLines="0" tabSelected="1" workbookViewId="0">
      <selection sqref="A1:F1"/>
    </sheetView>
  </sheetViews>
  <sheetFormatPr defaultRowHeight="15.75" x14ac:dyDescent="0.25"/>
  <cols>
    <col min="1" max="1" width="5.5" customWidth="1"/>
    <col min="2" max="2" width="6.25" customWidth="1"/>
    <col min="3" max="3" width="8.25" customWidth="1"/>
    <col min="4" max="4" width="23.125" customWidth="1"/>
    <col min="5" max="5" width="37.25" customWidth="1"/>
    <col min="6" max="6" width="4.5" customWidth="1"/>
  </cols>
  <sheetData>
    <row r="1" spans="1:6" s="46" customFormat="1" ht="9.75" customHeight="1" x14ac:dyDescent="0.25">
      <c r="A1" s="191"/>
      <c r="B1" s="191"/>
      <c r="C1" s="191"/>
      <c r="D1" s="191"/>
      <c r="E1" s="191"/>
      <c r="F1" s="191"/>
    </row>
    <row r="2" spans="1:6" s="46" customFormat="1" ht="21" customHeight="1" x14ac:dyDescent="0.25">
      <c r="A2" s="192" t="s">
        <v>17</v>
      </c>
      <c r="B2" s="192"/>
      <c r="C2" s="192"/>
      <c r="D2" s="192"/>
      <c r="E2" s="192"/>
      <c r="F2" s="192"/>
    </row>
    <row r="3" spans="1:6" s="47" customFormat="1" ht="23.25" customHeight="1" x14ac:dyDescent="0.25">
      <c r="A3" s="193" t="s">
        <v>18</v>
      </c>
      <c r="B3" s="193"/>
      <c r="C3" s="193"/>
      <c r="D3" s="193"/>
      <c r="E3" s="193"/>
      <c r="F3" s="193"/>
    </row>
    <row r="4" spans="1:6" s="46" customFormat="1" ht="15" customHeight="1" x14ac:dyDescent="0.2">
      <c r="A4" s="194" t="s">
        <v>96</v>
      </c>
      <c r="B4" s="194"/>
      <c r="C4" s="194"/>
      <c r="D4" s="194"/>
      <c r="E4" s="194"/>
      <c r="F4" s="194"/>
    </row>
    <row r="5" spans="1:6" s="46" customFormat="1" ht="15.75" customHeight="1" x14ac:dyDescent="0.2">
      <c r="A5" s="194" t="s">
        <v>97</v>
      </c>
      <c r="B5" s="194"/>
      <c r="C5" s="194"/>
      <c r="D5" s="194"/>
      <c r="E5" s="194"/>
      <c r="F5" s="194"/>
    </row>
    <row r="6" spans="1:6" s="46" customFormat="1" ht="12.75" customHeight="1" x14ac:dyDescent="0.2">
      <c r="A6" s="48"/>
      <c r="B6" s="48"/>
      <c r="C6" s="48"/>
      <c r="D6" s="48"/>
      <c r="E6" s="48"/>
      <c r="F6" s="48"/>
    </row>
    <row r="7" spans="1:6" s="46" customFormat="1" ht="15" x14ac:dyDescent="0.25">
      <c r="A7" s="190" t="s">
        <v>19</v>
      </c>
      <c r="B7" s="190"/>
      <c r="C7" s="190"/>
      <c r="D7" s="190"/>
      <c r="E7" s="190"/>
      <c r="F7" s="190"/>
    </row>
    <row r="8" spans="1:6" s="46" customFormat="1" ht="19.5" customHeight="1" x14ac:dyDescent="0.25">
      <c r="A8" s="189" t="s">
        <v>30</v>
      </c>
      <c r="B8" s="189"/>
      <c r="C8" s="189"/>
      <c r="D8" s="189"/>
      <c r="E8" s="189"/>
      <c r="F8" s="189"/>
    </row>
    <row r="9" spans="1:6" s="46" customFormat="1" ht="12.75" x14ac:dyDescent="0.2">
      <c r="A9" s="48"/>
      <c r="B9" s="48"/>
      <c r="C9" s="48"/>
      <c r="D9" s="48"/>
      <c r="E9" s="48"/>
      <c r="F9" s="48"/>
    </row>
    <row r="10" spans="1:6" s="46" customFormat="1" ht="15" x14ac:dyDescent="0.25">
      <c r="A10" s="190" t="s">
        <v>31</v>
      </c>
      <c r="B10" s="190"/>
      <c r="C10" s="190"/>
      <c r="D10" s="190"/>
      <c r="E10" s="190"/>
      <c r="F10" s="190"/>
    </row>
    <row r="11" spans="1:6" ht="23.25" customHeight="1" x14ac:dyDescent="0.25">
      <c r="A11" s="190" t="s">
        <v>20</v>
      </c>
      <c r="B11" s="190"/>
      <c r="C11" s="190"/>
      <c r="D11" s="190"/>
      <c r="E11" s="190"/>
      <c r="F11" s="190"/>
    </row>
    <row r="12" spans="1:6" s="46" customFormat="1" ht="12.75" x14ac:dyDescent="0.2"/>
    <row r="13" spans="1:6" s="46" customFormat="1" ht="12.75" x14ac:dyDescent="0.2">
      <c r="B13" s="46" t="s">
        <v>152</v>
      </c>
    </row>
    <row r="14" spans="1:6" s="46" customFormat="1" ht="12.75" x14ac:dyDescent="0.2">
      <c r="B14" s="46" t="s">
        <v>21</v>
      </c>
    </row>
    <row r="15" spans="1:6" s="46" customFormat="1" ht="12.75" x14ac:dyDescent="0.2">
      <c r="B15" s="46" t="s">
        <v>93</v>
      </c>
    </row>
    <row r="16" spans="1:6" s="46" customFormat="1" ht="12.75" x14ac:dyDescent="0.2">
      <c r="B16" s="46" t="s">
        <v>94</v>
      </c>
    </row>
    <row r="17" spans="2:2" s="46" customFormat="1" ht="12.75" x14ac:dyDescent="0.2">
      <c r="B17" s="46" t="s">
        <v>153</v>
      </c>
    </row>
    <row r="18" spans="2:2" s="46" customFormat="1" ht="12.75" x14ac:dyDescent="0.2"/>
    <row r="19" spans="2:2" s="46" customFormat="1" ht="12.75" x14ac:dyDescent="0.2">
      <c r="B19" s="46" t="s">
        <v>22</v>
      </c>
    </row>
    <row r="20" spans="2:2" s="46" customFormat="1" ht="12.75" x14ac:dyDescent="0.2">
      <c r="B20" s="46" t="s">
        <v>23</v>
      </c>
    </row>
    <row r="22" spans="2:2" x14ac:dyDescent="0.25">
      <c r="B22" s="49" t="s">
        <v>24</v>
      </c>
    </row>
    <row r="23" spans="2:2" x14ac:dyDescent="0.25">
      <c r="B23" s="49" t="s">
        <v>25</v>
      </c>
    </row>
    <row r="24" spans="2:2" ht="20.25" customHeight="1" x14ac:dyDescent="0.25">
      <c r="B24" s="50" t="s">
        <v>26</v>
      </c>
    </row>
    <row r="25" spans="2:2" x14ac:dyDescent="0.25">
      <c r="B25" s="51" t="s">
        <v>27</v>
      </c>
    </row>
    <row r="26" spans="2:2" ht="20.25" customHeight="1" x14ac:dyDescent="0.25">
      <c r="B26" s="50" t="s">
        <v>28</v>
      </c>
    </row>
    <row r="27" spans="2:2" x14ac:dyDescent="0.25">
      <c r="B27" s="51" t="s">
        <v>156</v>
      </c>
    </row>
    <row r="28" spans="2:2" ht="12.75" customHeight="1" x14ac:dyDescent="0.25">
      <c r="B28" s="51" t="s">
        <v>157</v>
      </c>
    </row>
    <row r="29" spans="2:2" ht="23.25" customHeight="1" x14ac:dyDescent="0.25">
      <c r="B29" s="52" t="s">
        <v>29</v>
      </c>
    </row>
    <row r="31" spans="2:2" ht="12.75" customHeight="1" x14ac:dyDescent="0.25">
      <c r="B31" s="169" t="s">
        <v>161</v>
      </c>
    </row>
    <row r="32" spans="2:2" ht="12.75" customHeight="1" x14ac:dyDescent="0.25">
      <c r="B32" s="52" t="s">
        <v>154</v>
      </c>
    </row>
    <row r="33" spans="2:5" ht="12.75" customHeight="1" x14ac:dyDescent="0.25">
      <c r="B33" s="52" t="s">
        <v>155</v>
      </c>
    </row>
    <row r="35" spans="2:5" ht="25.5" x14ac:dyDescent="0.25">
      <c r="B35" s="171" t="s">
        <v>162</v>
      </c>
      <c r="C35" s="174" t="s">
        <v>159</v>
      </c>
      <c r="D35" s="170" t="s">
        <v>160</v>
      </c>
      <c r="E35" s="171" t="s">
        <v>158</v>
      </c>
    </row>
    <row r="36" spans="2:5" ht="18" customHeight="1" x14ac:dyDescent="0.25">
      <c r="B36" s="177" t="s">
        <v>180</v>
      </c>
      <c r="C36" s="176"/>
      <c r="D36" s="175"/>
      <c r="E36" s="175"/>
    </row>
    <row r="37" spans="2:5" ht="18" customHeight="1" x14ac:dyDescent="0.25">
      <c r="B37" s="178">
        <v>150</v>
      </c>
      <c r="C37" s="181">
        <v>1</v>
      </c>
      <c r="D37" s="184" t="s">
        <v>163</v>
      </c>
      <c r="E37" s="181" t="s">
        <v>182</v>
      </c>
    </row>
    <row r="38" spans="2:5" ht="18" customHeight="1" x14ac:dyDescent="0.25">
      <c r="B38" s="179">
        <v>155</v>
      </c>
      <c r="C38" s="182">
        <v>2</v>
      </c>
      <c r="D38" s="185" t="s">
        <v>165</v>
      </c>
      <c r="E38" s="182" t="s">
        <v>183</v>
      </c>
    </row>
    <row r="39" spans="2:5" ht="18" customHeight="1" x14ac:dyDescent="0.25">
      <c r="B39" s="179">
        <v>157</v>
      </c>
      <c r="C39" s="182">
        <v>3</v>
      </c>
      <c r="D39" s="185" t="s">
        <v>166</v>
      </c>
      <c r="E39" s="182" t="s">
        <v>184</v>
      </c>
    </row>
    <row r="40" spans="2:5" ht="18" customHeight="1" x14ac:dyDescent="0.25">
      <c r="B40" s="179">
        <v>161</v>
      </c>
      <c r="C40" s="182">
        <v>4</v>
      </c>
      <c r="D40" s="185" t="s">
        <v>167</v>
      </c>
      <c r="E40" s="182" t="s">
        <v>185</v>
      </c>
    </row>
    <row r="41" spans="2:5" ht="18" customHeight="1" x14ac:dyDescent="0.3">
      <c r="B41" s="179">
        <v>167</v>
      </c>
      <c r="C41" s="182">
        <v>5</v>
      </c>
      <c r="D41" s="185" t="s">
        <v>168</v>
      </c>
      <c r="E41" s="182" t="s">
        <v>186</v>
      </c>
    </row>
    <row r="42" spans="2:5" ht="18" customHeight="1" x14ac:dyDescent="0.3">
      <c r="B42" s="179">
        <v>169</v>
      </c>
      <c r="C42" s="182">
        <v>6</v>
      </c>
      <c r="D42" s="185" t="s">
        <v>169</v>
      </c>
      <c r="E42" s="182" t="s">
        <v>187</v>
      </c>
    </row>
    <row r="43" spans="2:5" ht="18" customHeight="1" x14ac:dyDescent="0.25">
      <c r="B43" s="179">
        <v>171</v>
      </c>
      <c r="C43" s="182">
        <v>7.8</v>
      </c>
      <c r="D43" s="185" t="s">
        <v>170</v>
      </c>
      <c r="E43" s="182" t="s">
        <v>188</v>
      </c>
    </row>
    <row r="44" spans="2:5" ht="18" customHeight="1" x14ac:dyDescent="0.3">
      <c r="B44" s="180">
        <v>175</v>
      </c>
      <c r="C44" s="183">
        <v>9</v>
      </c>
      <c r="D44" s="186" t="s">
        <v>171</v>
      </c>
      <c r="E44" s="183" t="s">
        <v>189</v>
      </c>
    </row>
    <row r="45" spans="2:5" ht="18" customHeight="1" x14ac:dyDescent="0.25">
      <c r="B45" s="177" t="s">
        <v>181</v>
      </c>
      <c r="C45" s="51"/>
      <c r="D45" s="173"/>
      <c r="E45" s="51"/>
    </row>
    <row r="46" spans="2:5" ht="18" customHeight="1" x14ac:dyDescent="0.25">
      <c r="B46" s="178">
        <v>182</v>
      </c>
      <c r="C46" s="187" t="s">
        <v>173</v>
      </c>
      <c r="D46" s="184" t="s">
        <v>172</v>
      </c>
      <c r="E46" s="181" t="s">
        <v>190</v>
      </c>
    </row>
    <row r="47" spans="2:5" ht="18" customHeight="1" x14ac:dyDescent="0.25">
      <c r="B47" s="179">
        <v>185</v>
      </c>
      <c r="C47" s="188" t="s">
        <v>174</v>
      </c>
      <c r="D47" s="185" t="s">
        <v>175</v>
      </c>
      <c r="E47" s="182" t="s">
        <v>191</v>
      </c>
    </row>
    <row r="48" spans="2:5" ht="18" customHeight="1" x14ac:dyDescent="0.25">
      <c r="B48" s="179">
        <v>187</v>
      </c>
      <c r="C48" s="182">
        <v>11</v>
      </c>
      <c r="D48" s="185" t="s">
        <v>176</v>
      </c>
      <c r="E48" s="182" t="s">
        <v>192</v>
      </c>
    </row>
    <row r="49" spans="2:5" ht="18" customHeight="1" x14ac:dyDescent="0.25">
      <c r="B49" s="179">
        <v>190</v>
      </c>
      <c r="C49" s="182">
        <v>12</v>
      </c>
      <c r="D49" s="185" t="s">
        <v>177</v>
      </c>
      <c r="E49" s="182" t="s">
        <v>193</v>
      </c>
    </row>
    <row r="50" spans="2:5" ht="18" customHeight="1" x14ac:dyDescent="0.3">
      <c r="B50" s="179">
        <v>193</v>
      </c>
      <c r="C50" s="182">
        <v>13</v>
      </c>
      <c r="D50" s="185" t="s">
        <v>178</v>
      </c>
      <c r="E50" s="182" t="s">
        <v>194</v>
      </c>
    </row>
    <row r="51" spans="2:5" ht="18" customHeight="1" x14ac:dyDescent="0.25">
      <c r="B51" s="180">
        <v>195</v>
      </c>
      <c r="C51" s="183">
        <v>14</v>
      </c>
      <c r="D51" s="186" t="s">
        <v>179</v>
      </c>
      <c r="E51" s="183" t="s">
        <v>195</v>
      </c>
    </row>
    <row r="52" spans="2:5" x14ac:dyDescent="0.25">
      <c r="B52" s="51"/>
      <c r="C52" s="51"/>
      <c r="D52" s="51"/>
      <c r="E52" s="51"/>
    </row>
    <row r="53" spans="2:5" x14ac:dyDescent="0.25">
      <c r="B53" s="51"/>
      <c r="C53" s="51"/>
      <c r="D53" s="51"/>
      <c r="E53" s="51"/>
    </row>
  </sheetData>
  <mergeCells count="9">
    <mergeCell ref="A8:F8"/>
    <mergeCell ref="A10:F10"/>
    <mergeCell ref="A11:F11"/>
    <mergeCell ref="A1:F1"/>
    <mergeCell ref="A2:F2"/>
    <mergeCell ref="A3:F3"/>
    <mergeCell ref="A4:F4"/>
    <mergeCell ref="A5:F5"/>
    <mergeCell ref="A7:F7"/>
  </mergeCells>
  <hyperlinks>
    <hyperlink ref="D37" location="'1-MM, cílová struktura'!A1" display="MM, cílová struktura" xr:uid="{361A70A8-C889-4EF3-A372-9AC4F87793A2}"/>
    <hyperlink ref="D38" location="'2-MM, stabilita, iterace'!A1" display="MM, stabilita, iterace" xr:uid="{D5E618E2-331B-4189-B3B4-017FA7602D3B}"/>
    <hyperlink ref="D39" location="'3 -MM, růst, iterace'!A1" display="MM, růst, iterace" xr:uid="{BD9A7934-031C-4AD4-85C8-66DA63BC8B9A}"/>
    <hyperlink ref="D40" location="'4-Modif. funce'!A1" display="Modif. funce" xr:uid="{13D2228F-E663-4609-94CC-F816A04428E1}"/>
    <hyperlink ref="D41" location="'5-Nejisté DS'!A1" display="Nejisté DS" xr:uid="{223A827D-F512-4E70-93AE-9EE361F39019}"/>
    <hyperlink ref="D42" location="'6-Nejisté DS od 2. roku'!A1" display="Nejisté DS od 2. roku" xr:uid="{4BA65436-DB84-4374-B7C5-63617EAD35E7}"/>
    <hyperlink ref="D43" location="'7,8-Jisté DS+Miles-Ezzel '!A1" display="Jisté DS+Miles-Ezzel" xr:uid="{CD2309D4-3A63-4174-B887-9516657E2296}"/>
    <hyperlink ref="D44" location="'9-Univerzální reagenční funkce'!A1" display="Univerzální reagenční funkce" xr:uid="{346B834A-8DA9-4669-AA56-191A9E3BD99A}"/>
    <hyperlink ref="D46" location="'10a-Beta - stabilní CK'!A1" display="Beta - stabilní CK" xr:uid="{492EEADA-8F0E-4BB4-A6E6-B92C347D08D4}"/>
    <hyperlink ref="D47" location="'10b-Beta - stabilní CK, nCK=rf'!A1" display="Beta - stabilní CK, nCK=rf" xr:uid="{43C31759-FBEC-4BDA-8C48-CCED94B41480}"/>
    <hyperlink ref="D48" location="'11-Beta - stabilní CK, nCK&gt;rf'!A1" display="Beta - stabilní CK, nCK&gt;rf" xr:uid="{F8BC33EC-1C3C-42AC-BB18-6148C28D9F6C}"/>
    <hyperlink ref="D49" location="'12-Beta - proměnlivý CK, nCK&gt;rf'!A1" display="Beta - proměnlivý CK, nCK&gt;rf" xr:uid="{8262A9DD-CA5C-45D2-9C92-54346B0C58F2}"/>
    <hyperlink ref="D50" location="'13-Beta - DS diskontovány nVKn'!A1" display="Beta - DS diskontovány nVKn" xr:uid="{4DBC4B0A-C3BF-4CDC-BDE2-BCA8C31C15EC}"/>
    <hyperlink ref="D51" location="'14-Beta - univerzální funkce'!A1" display="Beta - univerzální funkce" xr:uid="{5C4373CE-EFBF-4132-AC4D-1505E0C64F57}"/>
  </hyperlinks>
  <pageMargins left="0.78740157480314965" right="0.78740157480314965" top="0.98425196850393704" bottom="0.78740157480314965" header="0.51181102362204722" footer="0.51181102362204722"/>
  <pageSetup paperSize="9" scale="88" orientation="portrait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C444-6027-42D2-AA13-D9A5A7B19390}">
  <sheetPr>
    <pageSetUpPr fitToPage="1"/>
  </sheetPr>
  <dimension ref="A1:K72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22.625" customWidth="1"/>
  </cols>
  <sheetData>
    <row r="1" spans="1:11" ht="18.75" x14ac:dyDescent="0.3">
      <c r="A1" s="53" t="s">
        <v>98</v>
      </c>
      <c r="B1" s="54" t="s">
        <v>99</v>
      </c>
      <c r="H1" s="172" t="s">
        <v>164</v>
      </c>
    </row>
    <row r="2" spans="1:11" x14ac:dyDescent="0.25">
      <c r="B2" s="54"/>
    </row>
    <row r="3" spans="1:11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G3" s="55" t="s">
        <v>0</v>
      </c>
      <c r="H3" s="56">
        <f>'1-MM, cílová struktura'!$B$3</f>
        <v>2023</v>
      </c>
      <c r="I3" s="56">
        <f>H3+1</f>
        <v>2024</v>
      </c>
      <c r="J3" s="56">
        <f>I3+1</f>
        <v>2025</v>
      </c>
      <c r="K3" s="56" t="s">
        <v>1</v>
      </c>
    </row>
    <row r="4" spans="1:11" ht="17.25" customHeight="1" x14ac:dyDescent="0.25">
      <c r="A4" s="57" t="s">
        <v>100</v>
      </c>
      <c r="G4" s="1" t="s">
        <v>37</v>
      </c>
    </row>
    <row r="5" spans="1:11" x14ac:dyDescent="0.25">
      <c r="A5" s="17" t="s">
        <v>38</v>
      </c>
      <c r="B5" s="91">
        <f>'1-MM, cílová struktura'!B5</f>
        <v>170</v>
      </c>
      <c r="C5" s="24">
        <f>'1-MM, cílová struktura'!C5</f>
        <v>170</v>
      </c>
      <c r="D5" s="24">
        <f>'1-MM, cílová struktura'!D5</f>
        <v>170</v>
      </c>
      <c r="E5" s="24">
        <f>'1-MM, cílová struktura'!E5</f>
        <v>170</v>
      </c>
      <c r="G5" s="65" t="s">
        <v>7</v>
      </c>
      <c r="H5" s="93">
        <f>'1-MM, cílová struktura'!H6</f>
        <v>0.2</v>
      </c>
    </row>
    <row r="6" spans="1:11" ht="18.75" x14ac:dyDescent="0.35">
      <c r="A6" s="12" t="s">
        <v>39</v>
      </c>
      <c r="B6" s="92">
        <f>'1-MM, cílová struktura'!B6</f>
        <v>180</v>
      </c>
      <c r="C6" s="21">
        <f>'1-MM, cílová struktura'!C6</f>
        <v>190</v>
      </c>
      <c r="D6" s="21">
        <f>'1-MM, cílová struktura'!D6</f>
        <v>200</v>
      </c>
      <c r="E6" s="21">
        <f>'1-MM, cílová struktura'!E6</f>
        <v>200</v>
      </c>
      <c r="G6" s="65" t="s">
        <v>34</v>
      </c>
      <c r="H6" s="145">
        <f>'1-MM, cílová struktura'!H7</f>
        <v>0.05</v>
      </c>
      <c r="K6" s="140"/>
    </row>
    <row r="7" spans="1:11" ht="18.75" x14ac:dyDescent="0.35">
      <c r="A7" s="30" t="s">
        <v>40</v>
      </c>
      <c r="B7" s="26">
        <f>B5+B6</f>
        <v>350</v>
      </c>
      <c r="C7" s="31">
        <f>C5+C6</f>
        <v>360</v>
      </c>
      <c r="D7" s="31">
        <f>D5+D6</f>
        <v>370</v>
      </c>
      <c r="E7" s="31">
        <f>E5+E6</f>
        <v>370</v>
      </c>
      <c r="G7" s="60" t="s">
        <v>103</v>
      </c>
      <c r="H7" s="167">
        <v>0.03</v>
      </c>
      <c r="J7" s="141"/>
      <c r="K7" s="142"/>
    </row>
    <row r="8" spans="1:11" ht="18.75" x14ac:dyDescent="0.35">
      <c r="A8" s="12" t="s">
        <v>42</v>
      </c>
      <c r="B8" s="27">
        <f>$H$6</f>
        <v>0.05</v>
      </c>
      <c r="C8" s="27">
        <f>$H$6</f>
        <v>0.05</v>
      </c>
      <c r="D8" s="27">
        <f>$H$6</f>
        <v>0.05</v>
      </c>
      <c r="E8" s="68">
        <f>$H$6</f>
        <v>0.05</v>
      </c>
      <c r="G8" s="60" t="s">
        <v>102</v>
      </c>
      <c r="H8" s="167">
        <v>0.12</v>
      </c>
      <c r="J8" s="144"/>
      <c r="K8" s="143"/>
    </row>
    <row r="9" spans="1:11" ht="18.75" x14ac:dyDescent="0.35">
      <c r="A9" s="13" t="s">
        <v>57</v>
      </c>
      <c r="B9" s="28">
        <f>$H$5</f>
        <v>0.2</v>
      </c>
      <c r="C9" s="28">
        <f>$H$5</f>
        <v>0.2</v>
      </c>
      <c r="D9" s="28">
        <f>$H$5</f>
        <v>0.2</v>
      </c>
      <c r="E9" s="69">
        <f>$H$5</f>
        <v>0.2</v>
      </c>
      <c r="G9" s="60" t="s">
        <v>104</v>
      </c>
      <c r="H9" s="168">
        <v>1</v>
      </c>
      <c r="J9" s="142"/>
      <c r="K9" s="141"/>
    </row>
    <row r="10" spans="1:11" ht="18.75" x14ac:dyDescent="0.35">
      <c r="A10" s="9" t="s">
        <v>15</v>
      </c>
      <c r="B10" s="90">
        <v>60</v>
      </c>
      <c r="C10" s="33">
        <f>B10*1.1</f>
        <v>66</v>
      </c>
      <c r="D10" s="33">
        <f>C10*1.1</f>
        <v>72.600000000000009</v>
      </c>
      <c r="E10" s="33">
        <f>D10</f>
        <v>72.600000000000009</v>
      </c>
      <c r="G10" s="60" t="s">
        <v>105</v>
      </c>
      <c r="H10" s="96">
        <f>H7+H8*H9</f>
        <v>0.15</v>
      </c>
      <c r="I10" s="147"/>
    </row>
    <row r="11" spans="1:11" x14ac:dyDescent="0.25">
      <c r="A11" s="1"/>
      <c r="B11" s="38"/>
      <c r="C11" s="38"/>
      <c r="D11" s="38"/>
      <c r="E11" s="38"/>
      <c r="G11" s="65" t="s">
        <v>36</v>
      </c>
      <c r="H11" s="93">
        <f>'1-MM, cílová struktura'!H10</f>
        <v>0</v>
      </c>
    </row>
    <row r="12" spans="1:11" x14ac:dyDescent="0.25">
      <c r="A12" s="57" t="s">
        <v>61</v>
      </c>
    </row>
    <row r="13" spans="1:11" x14ac:dyDescent="0.25">
      <c r="A13" s="17" t="s">
        <v>16</v>
      </c>
      <c r="B13" s="24">
        <f>B10*(1-B9)</f>
        <v>48</v>
      </c>
      <c r="C13" s="24">
        <f>C10*(1-C9)</f>
        <v>52.800000000000004</v>
      </c>
      <c r="D13" s="24">
        <f>D10*(1-D9)</f>
        <v>58.080000000000013</v>
      </c>
      <c r="E13" s="24">
        <f>E10*(1-E9)</f>
        <v>58.080000000000013</v>
      </c>
      <c r="H13" s="42"/>
    </row>
    <row r="14" spans="1:11" x14ac:dyDescent="0.25">
      <c r="A14" s="13" t="s">
        <v>41</v>
      </c>
      <c r="B14" s="14">
        <f>-(C7-B7)</f>
        <v>-10</v>
      </c>
      <c r="C14" s="14">
        <f>-(D7-C7)</f>
        <v>-10</v>
      </c>
      <c r="D14" s="14">
        <f>-(E7-D7)</f>
        <v>0</v>
      </c>
      <c r="E14" s="14">
        <f>-E7*H11</f>
        <v>0</v>
      </c>
    </row>
    <row r="15" spans="1:11" x14ac:dyDescent="0.25">
      <c r="A15" s="30" t="s">
        <v>14</v>
      </c>
      <c r="B15" s="31">
        <f>B13+B14</f>
        <v>38</v>
      </c>
      <c r="C15" s="31">
        <f>C13+C14</f>
        <v>42.800000000000004</v>
      </c>
      <c r="D15" s="31">
        <f>D13+D14</f>
        <v>58.080000000000013</v>
      </c>
      <c r="E15" s="31">
        <f>E13+E14</f>
        <v>58.080000000000013</v>
      </c>
    </row>
    <row r="16" spans="1:11" ht="18.75" x14ac:dyDescent="0.35">
      <c r="A16" s="82" t="s">
        <v>48</v>
      </c>
      <c r="B16" s="10">
        <f>-B8*B5*(1-B9)</f>
        <v>-6.8000000000000007</v>
      </c>
      <c r="C16" s="10">
        <f>-C8*C5*(1-C9)</f>
        <v>-6.8000000000000007</v>
      </c>
      <c r="D16" s="10">
        <f>-D8*D5*(1-D9)</f>
        <v>-6.8000000000000007</v>
      </c>
      <c r="E16" s="10">
        <f>-E8*E5*(1-E9)</f>
        <v>-6.8000000000000007</v>
      </c>
    </row>
    <row r="17" spans="1:11" x14ac:dyDescent="0.25">
      <c r="A17" s="25" t="s">
        <v>11</v>
      </c>
      <c r="B17" s="21">
        <f>C5-B5</f>
        <v>0</v>
      </c>
      <c r="C17" s="21">
        <f>D5-C5</f>
        <v>0</v>
      </c>
      <c r="D17" s="21">
        <f>E5-D5</f>
        <v>0</v>
      </c>
      <c r="E17" s="21">
        <f>E5*H11</f>
        <v>0</v>
      </c>
    </row>
    <row r="18" spans="1:11" x14ac:dyDescent="0.25">
      <c r="A18" s="9" t="s">
        <v>6</v>
      </c>
      <c r="B18" s="90">
        <f>SUM(B15:B17)</f>
        <v>31.2</v>
      </c>
      <c r="C18" s="90">
        <f t="shared" ref="C18:E18" si="0">SUM(C15:C17)</f>
        <v>36</v>
      </c>
      <c r="D18" s="90">
        <f t="shared" si="0"/>
        <v>51.280000000000015</v>
      </c>
      <c r="E18" s="90">
        <f t="shared" si="0"/>
        <v>51.280000000000015</v>
      </c>
    </row>
    <row r="19" spans="1:11" x14ac:dyDescent="0.25">
      <c r="A19" s="1"/>
      <c r="B19" s="38"/>
      <c r="C19" s="38"/>
      <c r="D19" s="38"/>
      <c r="E19" s="38"/>
    </row>
    <row r="20" spans="1:11" x14ac:dyDescent="0.25">
      <c r="A20" s="137" t="s">
        <v>107</v>
      </c>
      <c r="B20" s="38"/>
      <c r="C20" s="38"/>
      <c r="D20" s="38"/>
      <c r="E20" s="44"/>
      <c r="G20" s="137" t="s">
        <v>106</v>
      </c>
    </row>
    <row r="21" spans="1:11" x14ac:dyDescent="0.25">
      <c r="A21" s="54" t="s">
        <v>56</v>
      </c>
      <c r="B21" s="38"/>
      <c r="C21" s="38"/>
      <c r="D21" s="38"/>
      <c r="E21" s="44"/>
      <c r="G21" s="57" t="s">
        <v>109</v>
      </c>
    </row>
    <row r="22" spans="1:11" x14ac:dyDescent="0.25">
      <c r="A22" s="137"/>
      <c r="B22" s="38"/>
      <c r="C22" s="38"/>
      <c r="D22" s="38"/>
      <c r="E22" s="44"/>
      <c r="G22" s="71"/>
      <c r="H22" s="17"/>
      <c r="I22" s="17"/>
      <c r="J22" s="17"/>
      <c r="K22" s="148"/>
    </row>
    <row r="23" spans="1:11" x14ac:dyDescent="0.25">
      <c r="A23" s="137"/>
      <c r="B23" s="38"/>
      <c r="C23" s="38"/>
      <c r="D23" s="38"/>
      <c r="E23" s="44"/>
      <c r="G23" s="73"/>
      <c r="H23" s="12"/>
      <c r="I23" s="12"/>
      <c r="J23" s="12"/>
      <c r="K23" s="10"/>
    </row>
    <row r="24" spans="1:11" ht="17.25" x14ac:dyDescent="0.3">
      <c r="A24" s="137"/>
      <c r="B24" s="38"/>
      <c r="C24" s="38"/>
      <c r="D24" s="38"/>
      <c r="E24" s="44"/>
      <c r="G24" s="138" t="s">
        <v>110</v>
      </c>
      <c r="H24" s="149">
        <f ca="1">$H$9*(1+H28*(1-$H$5))</f>
        <v>1.6664970305443831</v>
      </c>
      <c r="I24" s="149">
        <f t="shared" ref="I24:K24" ca="1" si="1">$H$9*(1+I28*(1-$H$5))</f>
        <v>1.6188014349018784</v>
      </c>
      <c r="J24" s="149">
        <f t="shared" ca="1" si="1"/>
        <v>1.5835240274599536</v>
      </c>
      <c r="K24" s="150">
        <f t="shared" ca="1" si="1"/>
        <v>1.5835240274599545</v>
      </c>
    </row>
    <row r="25" spans="1:11" x14ac:dyDescent="0.25">
      <c r="A25" s="57" t="s">
        <v>59</v>
      </c>
      <c r="E25" s="2"/>
      <c r="G25" s="57" t="s">
        <v>59</v>
      </c>
    </row>
    <row r="26" spans="1:11" x14ac:dyDescent="0.25">
      <c r="A26" s="71" t="s">
        <v>58</v>
      </c>
      <c r="B26" s="100">
        <f ca="1">B36</f>
        <v>0.43346861654439767</v>
      </c>
      <c r="C26" s="19">
        <f ca="1">C36</f>
        <v>0.41675548923470473</v>
      </c>
      <c r="D26" s="19">
        <f ca="1">D36</f>
        <v>0.40360873694207022</v>
      </c>
      <c r="E26" s="19">
        <f ca="1">E36</f>
        <v>0.40360873694207017</v>
      </c>
      <c r="G26" s="71" t="s">
        <v>58</v>
      </c>
      <c r="H26" s="100">
        <f ca="1">H36</f>
        <v>0.45448235943373932</v>
      </c>
      <c r="I26" s="19">
        <f ca="1">I36</f>
        <v>0.43614378987759689</v>
      </c>
      <c r="J26" s="19">
        <f ca="1">J36</f>
        <v>0.42176645716176003</v>
      </c>
      <c r="K26" s="19">
        <f ca="1">K36</f>
        <v>0.42176645716175959</v>
      </c>
    </row>
    <row r="27" spans="1:11" x14ac:dyDescent="0.25">
      <c r="A27" s="73" t="s">
        <v>10</v>
      </c>
      <c r="B27" s="101">
        <f ca="1">(1-B26)</f>
        <v>0.56653138345560228</v>
      </c>
      <c r="C27" s="20">
        <f ca="1">(1-C26)</f>
        <v>0.58324451076529527</v>
      </c>
      <c r="D27" s="20">
        <f ca="1">(1-D26)</f>
        <v>0.59639126305792978</v>
      </c>
      <c r="E27" s="20">
        <f ca="1">(1-E26)</f>
        <v>0.59639126305792978</v>
      </c>
      <c r="G27" s="73" t="s">
        <v>10</v>
      </c>
      <c r="H27" s="101">
        <f ca="1">(1-H26)</f>
        <v>0.54551764056626073</v>
      </c>
      <c r="I27" s="20">
        <f ca="1">(1-I26)</f>
        <v>0.56385621012240317</v>
      </c>
      <c r="J27" s="20">
        <f ca="1">(1-J26)</f>
        <v>0.57823354283823991</v>
      </c>
      <c r="K27" s="20">
        <f ca="1">(1-K26)</f>
        <v>0.57823354283824036</v>
      </c>
    </row>
    <row r="28" spans="1:11" x14ac:dyDescent="0.25">
      <c r="A28" s="73" t="s">
        <v>13</v>
      </c>
      <c r="B28" s="102">
        <f ca="1">B26/B27</f>
        <v>0.76512728015246412</v>
      </c>
      <c r="C28" s="18">
        <f ca="1">C26/C27</f>
        <v>0.71454678362573099</v>
      </c>
      <c r="D28" s="18">
        <f ca="1">D26/D27</f>
        <v>0.6767515923566878</v>
      </c>
      <c r="E28" s="18">
        <f ca="1">E26/E27</f>
        <v>0.67675159235668769</v>
      </c>
      <c r="G28" s="73" t="s">
        <v>13</v>
      </c>
      <c r="H28" s="102">
        <f ca="1">H26/H27</f>
        <v>0.83312128818048026</v>
      </c>
      <c r="I28" s="18">
        <f ca="1">I26/I27</f>
        <v>0.77350179362734661</v>
      </c>
      <c r="J28" s="18">
        <f ca="1">J26/J27</f>
        <v>0.72940503432494341</v>
      </c>
      <c r="K28" s="18">
        <f ca="1">K26/K27</f>
        <v>0.72940503432494208</v>
      </c>
    </row>
    <row r="29" spans="1:11" ht="18.75" x14ac:dyDescent="0.35">
      <c r="A29" s="71" t="s">
        <v>60</v>
      </c>
      <c r="B29" s="72">
        <f>B8*(1-B9)</f>
        <v>4.0000000000000008E-2</v>
      </c>
      <c r="C29" s="72">
        <f>C8*(1-C9)</f>
        <v>4.0000000000000008E-2</v>
      </c>
      <c r="D29" s="72">
        <f>D8*(1-D9)</f>
        <v>4.0000000000000008E-2</v>
      </c>
      <c r="E29" s="72">
        <f>E8*(1-E9)</f>
        <v>4.0000000000000008E-2</v>
      </c>
      <c r="G29" s="71" t="s">
        <v>60</v>
      </c>
      <c r="H29" s="72">
        <f>B8*(1-B9)</f>
        <v>4.0000000000000008E-2</v>
      </c>
      <c r="I29" s="72">
        <f t="shared" ref="I29:K29" si="2">C8*(1-C9)</f>
        <v>4.0000000000000008E-2</v>
      </c>
      <c r="J29" s="72">
        <f t="shared" si="2"/>
        <v>4.0000000000000008E-2</v>
      </c>
      <c r="K29" s="72">
        <f t="shared" si="2"/>
        <v>4.0000000000000008E-2</v>
      </c>
    </row>
    <row r="30" spans="1:11" ht="17.25" x14ac:dyDescent="0.3">
      <c r="A30" s="138" t="s">
        <v>101</v>
      </c>
      <c r="B30" s="139">
        <f ca="1">$H$10+($H$10-B8)*B28*(1-B9)</f>
        <v>0.21121018241219713</v>
      </c>
      <c r="C30" s="139">
        <f ca="1">$H$10+($H$10-C8)*C28*(1-C9)</f>
        <v>0.20716374269005847</v>
      </c>
      <c r="D30" s="139">
        <f ca="1">$H$10+($H$10-D8)*D28*(1-D9)</f>
        <v>0.20414012738853501</v>
      </c>
      <c r="E30" s="139">
        <f ca="1">$H$10+($H$10-E8)*E28*(1-E9)</f>
        <v>0.20414012738853501</v>
      </c>
      <c r="G30" s="138" t="s">
        <v>108</v>
      </c>
      <c r="H30" s="139">
        <f ca="1">$H$7+$H$8*H24</f>
        <v>0.22997964366532597</v>
      </c>
      <c r="I30" s="139">
        <f t="shared" ref="I30:K30" ca="1" si="3">$H$7+$H$8*I24</f>
        <v>0.22425617218822541</v>
      </c>
      <c r="J30" s="139">
        <f t="shared" ca="1" si="3"/>
        <v>0.22002288329519443</v>
      </c>
      <c r="K30" s="139">
        <f t="shared" ca="1" si="3"/>
        <v>0.22002288329519454</v>
      </c>
    </row>
    <row r="31" spans="1:11" x14ac:dyDescent="0.25">
      <c r="A31" s="77" t="s">
        <v>63</v>
      </c>
      <c r="B31" s="104">
        <f ca="1">B29*B26+B30*B27</f>
        <v>0.13699594150366806</v>
      </c>
      <c r="C31" s="104">
        <f t="shared" ref="C31:E31" ca="1" si="4">C29*C26+C30*C27</f>
        <v>0.13749733532295885</v>
      </c>
      <c r="D31" s="104">
        <f t="shared" ca="1" si="4"/>
        <v>0.13789173789173789</v>
      </c>
      <c r="E31" s="104">
        <f t="shared" ca="1" si="4"/>
        <v>0.13789173789173789</v>
      </c>
      <c r="G31" s="77" t="s">
        <v>63</v>
      </c>
      <c r="H31" s="104">
        <f ca="1">H29*H26+H30*H27</f>
        <v>0.1436372469679276</v>
      </c>
      <c r="I31" s="104">
        <f t="shared" ref="I31:K31" ca="1" si="5">I29*I26+I30*I27</f>
        <v>0.14389398694171374</v>
      </c>
      <c r="J31" s="104">
        <f t="shared" ca="1" si="5"/>
        <v>0.14409526959973529</v>
      </c>
      <c r="K31" s="104">
        <f t="shared" ca="1" si="5"/>
        <v>0.14409526959973543</v>
      </c>
    </row>
    <row r="32" spans="1:11" x14ac:dyDescent="0.25">
      <c r="A32" s="17" t="s">
        <v>14</v>
      </c>
      <c r="B32" s="24">
        <f>B$15</f>
        <v>38</v>
      </c>
      <c r="C32" s="24">
        <f>C$15</f>
        <v>42.800000000000004</v>
      </c>
      <c r="D32" s="24">
        <f>D$15</f>
        <v>58.080000000000013</v>
      </c>
      <c r="E32" s="24">
        <f>E15</f>
        <v>58.080000000000013</v>
      </c>
      <c r="G32" s="17" t="s">
        <v>14</v>
      </c>
      <c r="H32" s="24">
        <f>B$15</f>
        <v>38</v>
      </c>
      <c r="I32" s="24">
        <f t="shared" ref="I32:K32" si="6">C$15</f>
        <v>42.800000000000004</v>
      </c>
      <c r="J32" s="24">
        <f t="shared" si="6"/>
        <v>58.080000000000013</v>
      </c>
      <c r="K32" s="24">
        <f t="shared" si="6"/>
        <v>58.080000000000013</v>
      </c>
    </row>
    <row r="33" spans="1:11" x14ac:dyDescent="0.25">
      <c r="A33" s="15" t="s">
        <v>5</v>
      </c>
      <c r="B33" s="16">
        <f ca="1">(C33+B32)/(1+B31)</f>
        <v>392.18525519848771</v>
      </c>
      <c r="C33" s="16">
        <f ca="1">(D33+C32)/(1+C31)</f>
        <v>407.91304347826087</v>
      </c>
      <c r="D33" s="16">
        <f ca="1">(E33+D32)/(1+D31)</f>
        <v>421.20000000000005</v>
      </c>
      <c r="E33" s="16">
        <f ca="1">E32/(E31-H11)</f>
        <v>421.2000000000001</v>
      </c>
      <c r="G33" s="15" t="s">
        <v>5</v>
      </c>
      <c r="H33" s="16">
        <f ca="1">(I33+H32)/(1+H31)</f>
        <v>374.05192186515455</v>
      </c>
      <c r="I33" s="16">
        <f ca="1">(J33+I32)/(1+I31)</f>
        <v>389.77971014492738</v>
      </c>
      <c r="J33" s="16">
        <f ca="1">(K33+J32)/(1+J31)</f>
        <v>403.06666666666689</v>
      </c>
      <c r="K33" s="16">
        <f ca="1">K32/(K31-$H$11)</f>
        <v>403.06666666666655</v>
      </c>
    </row>
    <row r="34" spans="1:11" x14ac:dyDescent="0.25">
      <c r="A34" s="17" t="s">
        <v>38</v>
      </c>
      <c r="B34" s="108">
        <f>B5</f>
        <v>170</v>
      </c>
      <c r="C34" s="108">
        <f>C5</f>
        <v>170</v>
      </c>
      <c r="D34" s="108">
        <f>D5</f>
        <v>170</v>
      </c>
      <c r="E34" s="108">
        <f>E5</f>
        <v>170</v>
      </c>
      <c r="G34" s="17" t="s">
        <v>38</v>
      </c>
      <c r="H34" s="108">
        <f>B5</f>
        <v>170</v>
      </c>
      <c r="I34" s="108">
        <f t="shared" ref="I34:K34" si="7">C5</f>
        <v>170</v>
      </c>
      <c r="J34" s="108">
        <f t="shared" si="7"/>
        <v>170</v>
      </c>
      <c r="K34" s="108">
        <f t="shared" si="7"/>
        <v>170</v>
      </c>
    </row>
    <row r="35" spans="1:11" x14ac:dyDescent="0.25">
      <c r="A35" s="80" t="s">
        <v>49</v>
      </c>
      <c r="B35" s="81">
        <f ca="1">B33-B34</f>
        <v>222.18525519848771</v>
      </c>
      <c r="C35" s="37">
        <f t="shared" ref="C35:E35" ca="1" si="8">C33-C34</f>
        <v>237.91304347826087</v>
      </c>
      <c r="D35" s="37">
        <f t="shared" ca="1" si="8"/>
        <v>251.20000000000005</v>
      </c>
      <c r="E35" s="37">
        <f t="shared" ca="1" si="8"/>
        <v>251.2000000000001</v>
      </c>
      <c r="G35" s="80" t="s">
        <v>49</v>
      </c>
      <c r="H35" s="81">
        <f ca="1">H33-H34</f>
        <v>204.05192186515455</v>
      </c>
      <c r="I35" s="37">
        <f t="shared" ref="I35:K35" ca="1" si="9">I33-I34</f>
        <v>219.77971014492738</v>
      </c>
      <c r="J35" s="37">
        <f t="shared" ca="1" si="9"/>
        <v>233.06666666666689</v>
      </c>
      <c r="K35" s="37">
        <f t="shared" ca="1" si="9"/>
        <v>233.06666666666655</v>
      </c>
    </row>
    <row r="36" spans="1:11" ht="18.75" x14ac:dyDescent="0.35">
      <c r="A36" s="13" t="s">
        <v>46</v>
      </c>
      <c r="B36" s="32">
        <f ca="1">B34/B33</f>
        <v>0.43346861654439767</v>
      </c>
      <c r="C36" s="32">
        <f t="shared" ref="C36:E36" ca="1" si="10">C34/C33</f>
        <v>0.41675548923470473</v>
      </c>
      <c r="D36" s="32">
        <f t="shared" ca="1" si="10"/>
        <v>0.40360873694207022</v>
      </c>
      <c r="E36" s="32">
        <f t="shared" ca="1" si="10"/>
        <v>0.40360873694207017</v>
      </c>
      <c r="G36" s="13" t="s">
        <v>46</v>
      </c>
      <c r="H36" s="32">
        <f ca="1">H34/H33</f>
        <v>0.45448235943373894</v>
      </c>
      <c r="I36" s="32">
        <f t="shared" ref="I36:K36" ca="1" si="11">I34/I33</f>
        <v>0.43614378987759733</v>
      </c>
      <c r="J36" s="32">
        <f t="shared" ca="1" si="11"/>
        <v>0.42176645716175959</v>
      </c>
      <c r="K36" s="32">
        <f t="shared" ca="1" si="11"/>
        <v>0.42176645716175998</v>
      </c>
    </row>
    <row r="38" spans="1:11" x14ac:dyDescent="0.25">
      <c r="A38" s="57" t="s">
        <v>67</v>
      </c>
      <c r="G38" s="57" t="s">
        <v>67</v>
      </c>
    </row>
    <row r="39" spans="1:11" x14ac:dyDescent="0.25">
      <c r="A39" s="17" t="s">
        <v>6</v>
      </c>
      <c r="B39" s="24">
        <f>B18</f>
        <v>31.2</v>
      </c>
      <c r="C39" s="24">
        <f t="shared" ref="C39:E39" si="12">C18</f>
        <v>36</v>
      </c>
      <c r="D39" s="24">
        <f t="shared" si="12"/>
        <v>51.280000000000015</v>
      </c>
      <c r="E39" s="24">
        <f t="shared" si="12"/>
        <v>51.280000000000015</v>
      </c>
      <c r="G39" s="17" t="s">
        <v>6</v>
      </c>
      <c r="H39" s="24">
        <f>B18</f>
        <v>31.2</v>
      </c>
      <c r="I39" s="24">
        <f t="shared" ref="I39:K39" si="13">C18</f>
        <v>36</v>
      </c>
      <c r="J39" s="24">
        <f t="shared" si="13"/>
        <v>51.280000000000015</v>
      </c>
      <c r="K39" s="24">
        <f t="shared" si="13"/>
        <v>51.280000000000015</v>
      </c>
    </row>
    <row r="40" spans="1:11" ht="17.25" x14ac:dyDescent="0.3">
      <c r="A40" s="97" t="s">
        <v>62</v>
      </c>
      <c r="B40" s="103">
        <f ca="1">B30</f>
        <v>0.21121018241219713</v>
      </c>
      <c r="C40" s="103">
        <f ca="1">C30</f>
        <v>0.20716374269005847</v>
      </c>
      <c r="D40" s="103">
        <f ca="1">D30</f>
        <v>0.20414012738853501</v>
      </c>
      <c r="E40" s="103">
        <f ca="1">E30</f>
        <v>0.20414012738853501</v>
      </c>
      <c r="G40" s="97" t="s">
        <v>111</v>
      </c>
      <c r="H40" s="103">
        <f ca="1">$H$7+$H$8*H24</f>
        <v>0.22997964366532597</v>
      </c>
      <c r="I40" s="103">
        <f t="shared" ref="I40:K40" ca="1" si="14">$H$7+$H$8*I24</f>
        <v>0.22425617218822541</v>
      </c>
      <c r="J40" s="103">
        <f t="shared" ca="1" si="14"/>
        <v>0.22002288329519443</v>
      </c>
      <c r="K40" s="103">
        <f t="shared" ca="1" si="14"/>
        <v>0.22002288329519454</v>
      </c>
    </row>
    <row r="41" spans="1:11" x14ac:dyDescent="0.25">
      <c r="A41" s="83" t="s">
        <v>49</v>
      </c>
      <c r="B41" s="106">
        <f ca="1">(C41+B39)/(1+B40)</f>
        <v>222.18525519848774</v>
      </c>
      <c r="C41" s="107">
        <f ca="1">(D41+C39)/(1+C40)</f>
        <v>237.91304347826093</v>
      </c>
      <c r="D41" s="107">
        <f ca="1">(E41+D39)/(1+D40)</f>
        <v>251.2000000000001</v>
      </c>
      <c r="E41" s="107">
        <f ca="1">E39/(E40-H11)</f>
        <v>251.2000000000001</v>
      </c>
      <c r="G41" s="83" t="s">
        <v>49</v>
      </c>
      <c r="H41" s="106">
        <f t="shared" ref="H41:I41" ca="1" si="15">(I41+H39)/(1+H40)</f>
        <v>204.0519218651545</v>
      </c>
      <c r="I41" s="107">
        <f t="shared" ca="1" si="15"/>
        <v>219.77971014492755</v>
      </c>
      <c r="J41" s="107">
        <f ca="1">(K41+J39)/(1+J40)</f>
        <v>233.06666666666683</v>
      </c>
      <c r="K41" s="107">
        <f ca="1">K39/(K40-$H$11)</f>
        <v>233.06666666666669</v>
      </c>
    </row>
    <row r="42" spans="1:11" x14ac:dyDescent="0.25">
      <c r="A42" s="7"/>
      <c r="G42" s="7"/>
    </row>
    <row r="43" spans="1:11" ht="18.75" x14ac:dyDescent="0.35">
      <c r="A43" s="57" t="s">
        <v>64</v>
      </c>
      <c r="B43" s="3"/>
      <c r="C43" s="3"/>
      <c r="D43" s="3"/>
      <c r="G43" s="166" t="s">
        <v>112</v>
      </c>
      <c r="H43" s="166"/>
      <c r="I43" s="166"/>
      <c r="J43" s="166"/>
      <c r="K43" s="166"/>
    </row>
    <row r="44" spans="1:11" ht="18.75" x14ac:dyDescent="0.35">
      <c r="A44" s="75" t="s">
        <v>53</v>
      </c>
      <c r="B44" s="76">
        <f>$H$10</f>
        <v>0.15</v>
      </c>
      <c r="C44" s="76">
        <f>$H$10</f>
        <v>0.15</v>
      </c>
      <c r="D44" s="76">
        <f>$H$10</f>
        <v>0.15</v>
      </c>
      <c r="E44" s="76">
        <f>$H$10</f>
        <v>0.15</v>
      </c>
      <c r="G44" s="166" t="s">
        <v>113</v>
      </c>
      <c r="H44" s="166"/>
      <c r="I44" s="166"/>
      <c r="J44" s="166"/>
      <c r="K44" s="166"/>
    </row>
    <row r="45" spans="1:11" x14ac:dyDescent="0.25">
      <c r="A45" s="12" t="s">
        <v>14</v>
      </c>
      <c r="B45" s="21">
        <f>B15</f>
        <v>38</v>
      </c>
      <c r="C45" s="21">
        <f t="shared" ref="C45:E45" si="16">C15</f>
        <v>42.800000000000004</v>
      </c>
      <c r="D45" s="21">
        <f t="shared" si="16"/>
        <v>58.080000000000013</v>
      </c>
      <c r="E45" s="21">
        <f t="shared" si="16"/>
        <v>58.080000000000013</v>
      </c>
    </row>
    <row r="46" spans="1:11" x14ac:dyDescent="0.25">
      <c r="A46" s="86" t="s">
        <v>51</v>
      </c>
      <c r="B46" s="21">
        <f>(C46+B45)/(1+B44)</f>
        <v>358.18525519848782</v>
      </c>
      <c r="C46" s="21">
        <f>(D46+C45)/(1+C44)</f>
        <v>373.91304347826099</v>
      </c>
      <c r="D46" s="21">
        <f>(E46+D45)/(1+D44)</f>
        <v>387.2000000000001</v>
      </c>
      <c r="E46" s="10">
        <f>E45/(E44-$H$11)</f>
        <v>387.2000000000001</v>
      </c>
    </row>
    <row r="47" spans="1:11" ht="18.75" x14ac:dyDescent="0.35">
      <c r="A47" s="82" t="s">
        <v>52</v>
      </c>
      <c r="B47" s="29">
        <f>B8</f>
        <v>0.05</v>
      </c>
      <c r="C47" s="29">
        <f>C8</f>
        <v>0.05</v>
      </c>
      <c r="D47" s="29">
        <f>D8</f>
        <v>0.05</v>
      </c>
      <c r="E47" s="29">
        <f>E8</f>
        <v>0.05</v>
      </c>
    </row>
    <row r="48" spans="1:11" x14ac:dyDescent="0.25">
      <c r="A48" s="82" t="s">
        <v>50</v>
      </c>
      <c r="B48" s="21">
        <f>B8*B5*B9</f>
        <v>1.7000000000000002</v>
      </c>
      <c r="C48" s="21">
        <f>C8*C5*C9</f>
        <v>1.7000000000000002</v>
      </c>
      <c r="D48" s="21">
        <f>D8*D5*D9</f>
        <v>1.7000000000000002</v>
      </c>
      <c r="E48" s="21">
        <f>E8*E5*E9</f>
        <v>1.7000000000000002</v>
      </c>
    </row>
    <row r="49" spans="1:5" x14ac:dyDescent="0.25">
      <c r="A49" s="13" t="s">
        <v>137</v>
      </c>
      <c r="B49" s="34">
        <f>(C49+B48)/(1+B47)</f>
        <v>34</v>
      </c>
      <c r="C49" s="14">
        <f>(D49+C48)/(1+C47)</f>
        <v>34</v>
      </c>
      <c r="D49" s="14">
        <f>(E49+D48)/(1+D47)</f>
        <v>34</v>
      </c>
      <c r="E49" s="14">
        <f>E48/(E47-$H$11)</f>
        <v>34</v>
      </c>
    </row>
    <row r="50" spans="1:5" x14ac:dyDescent="0.25">
      <c r="A50" s="35" t="s">
        <v>9</v>
      </c>
      <c r="B50" s="36">
        <f>B46+B49</f>
        <v>392.18525519848782</v>
      </c>
      <c r="C50" s="36">
        <f>C46+C49</f>
        <v>407.91304347826099</v>
      </c>
      <c r="D50" s="36">
        <f>D46+D49</f>
        <v>421.2000000000001</v>
      </c>
      <c r="E50" s="36">
        <f>E46+E49</f>
        <v>421.2000000000001</v>
      </c>
    </row>
    <row r="51" spans="1:5" x14ac:dyDescent="0.25">
      <c r="A51" s="40" t="s">
        <v>2</v>
      </c>
      <c r="B51" s="41">
        <f>B5</f>
        <v>170</v>
      </c>
      <c r="C51" s="41">
        <f>C5</f>
        <v>170</v>
      </c>
      <c r="D51" s="41">
        <f>D5</f>
        <v>170</v>
      </c>
      <c r="E51" s="41">
        <f>E5</f>
        <v>170</v>
      </c>
    </row>
    <row r="52" spans="1:5" x14ac:dyDescent="0.25">
      <c r="A52" s="83" t="s">
        <v>49</v>
      </c>
      <c r="B52" s="105">
        <f>B50-B51</f>
        <v>222.18525519848782</v>
      </c>
      <c r="C52" s="85">
        <f t="shared" ref="C52:E52" si="17">C50-C51</f>
        <v>237.91304347826099</v>
      </c>
      <c r="D52" s="85">
        <f t="shared" si="17"/>
        <v>251.2000000000001</v>
      </c>
      <c r="E52" s="85">
        <f t="shared" si="17"/>
        <v>251.2000000000001</v>
      </c>
    </row>
    <row r="53" spans="1:5" x14ac:dyDescent="0.25">
      <c r="B53" s="8"/>
      <c r="C53" s="1"/>
      <c r="D53" s="1"/>
      <c r="E53" s="8"/>
    </row>
    <row r="57" spans="1:5" x14ac:dyDescent="0.25">
      <c r="A57" s="7"/>
    </row>
    <row r="58" spans="1:5" x14ac:dyDescent="0.25">
      <c r="A58" s="7"/>
    </row>
    <row r="59" spans="1:5" x14ac:dyDescent="0.25">
      <c r="A59" s="7"/>
    </row>
    <row r="60" spans="1:5" x14ac:dyDescent="0.25">
      <c r="A60" s="7"/>
    </row>
    <row r="61" spans="1:5" x14ac:dyDescent="0.25">
      <c r="A61" s="7"/>
    </row>
    <row r="62" spans="1:5" x14ac:dyDescent="0.25">
      <c r="A62" s="7"/>
    </row>
    <row r="63" spans="1:5" x14ac:dyDescent="0.25">
      <c r="A63" s="7"/>
    </row>
    <row r="64" spans="1:5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hyperlinks>
    <hyperlink ref="H1" location="Úvod!A31" display="Skok na obsah" xr:uid="{22131177-9310-490E-9A01-F7CCD74B9CDC}"/>
  </hyperlinks>
  <printOptions gridLinesSet="0"/>
  <pageMargins left="0.78740157480314965" right="0.78740157480314965" top="0.98425196850393704" bottom="0.78740157480314965" header="0.51181102362204722" footer="0.51181102362204722"/>
  <pageSetup paperSize="9" scale="54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rowBreaks count="1" manualBreakCount="1">
    <brk id="49" max="65535" man="1"/>
  </rowBreaks>
  <drawing r:id="rId2"/>
  <legacyDrawing r:id="rId3"/>
  <oleObjects>
    <mc:AlternateContent xmlns:mc="http://schemas.openxmlformats.org/markup-compatibility/2006">
      <mc:Choice Requires="x14">
        <oleObject progId="Equation.3" shapeId="83969" r:id="rId4">
          <objectPr defaultSize="0" autoPict="0" r:id="rId5">
            <anchor moveWithCells="1" sizeWithCells="1">
              <from>
                <xdr:col>11</xdr:col>
                <xdr:colOff>219075</xdr:colOff>
                <xdr:row>22</xdr:row>
                <xdr:rowOff>76200</xdr:rowOff>
              </from>
              <to>
                <xdr:col>13</xdr:col>
                <xdr:colOff>533400</xdr:colOff>
                <xdr:row>24</xdr:row>
                <xdr:rowOff>66675</xdr:rowOff>
              </to>
            </anchor>
          </objectPr>
        </oleObject>
      </mc:Choice>
      <mc:Fallback>
        <oleObject progId="Equation.3" shapeId="83969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A6F8-5C00-419E-980D-D7B277220BBA}">
  <sheetPr>
    <pageSetUpPr fitToPage="1"/>
  </sheetPr>
  <dimension ref="A1:K72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22.625" customWidth="1"/>
  </cols>
  <sheetData>
    <row r="1" spans="1:11" ht="18.75" x14ac:dyDescent="0.3">
      <c r="A1" s="53" t="s">
        <v>119</v>
      </c>
      <c r="B1" s="54" t="s">
        <v>114</v>
      </c>
      <c r="I1" s="172" t="s">
        <v>164</v>
      </c>
    </row>
    <row r="2" spans="1:11" x14ac:dyDescent="0.25">
      <c r="B2" s="54"/>
    </row>
    <row r="3" spans="1:11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G3" s="55" t="s">
        <v>0</v>
      </c>
      <c r="H3" s="56">
        <f>'1-MM, cílová struktura'!$B$3</f>
        <v>2023</v>
      </c>
      <c r="I3" s="56">
        <f>H3+1</f>
        <v>2024</v>
      </c>
      <c r="J3" s="56">
        <f>I3+1</f>
        <v>2025</v>
      </c>
      <c r="K3" s="56" t="s">
        <v>1</v>
      </c>
    </row>
    <row r="4" spans="1:11" ht="17.25" customHeight="1" x14ac:dyDescent="0.25">
      <c r="A4" s="57" t="s">
        <v>100</v>
      </c>
      <c r="G4" s="1" t="s">
        <v>37</v>
      </c>
    </row>
    <row r="5" spans="1:11" x14ac:dyDescent="0.25">
      <c r="A5" s="17" t="s">
        <v>38</v>
      </c>
      <c r="B5" s="91">
        <f>'1-MM, cílová struktura'!B5</f>
        <v>170</v>
      </c>
      <c r="C5" s="24">
        <f>'1-MM, cílová struktura'!C5</f>
        <v>170</v>
      </c>
      <c r="D5" s="24">
        <f>'1-MM, cílová struktura'!D5</f>
        <v>170</v>
      </c>
      <c r="E5" s="24">
        <f>'1-MM, cílová struktura'!E5</f>
        <v>170</v>
      </c>
      <c r="G5" s="65" t="s">
        <v>7</v>
      </c>
      <c r="H5" s="93">
        <f>'1-MM, cílová struktura'!H6</f>
        <v>0.2</v>
      </c>
    </row>
    <row r="6" spans="1:11" ht="18.75" x14ac:dyDescent="0.35">
      <c r="A6" s="12" t="s">
        <v>39</v>
      </c>
      <c r="B6" s="92">
        <f>'1-MM, cílová struktura'!B6</f>
        <v>180</v>
      </c>
      <c r="C6" s="21">
        <f>'1-MM, cílová struktura'!C6</f>
        <v>190</v>
      </c>
      <c r="D6" s="21">
        <f>'1-MM, cílová struktura'!D6</f>
        <v>200</v>
      </c>
      <c r="E6" s="21">
        <f>'1-MM, cílová struktura'!E6</f>
        <v>200</v>
      </c>
      <c r="G6" s="151" t="s">
        <v>34</v>
      </c>
      <c r="H6" s="152">
        <f>H7</f>
        <v>0.03</v>
      </c>
      <c r="K6" s="140"/>
    </row>
    <row r="7" spans="1:11" ht="18.75" x14ac:dyDescent="0.35">
      <c r="A7" s="30" t="s">
        <v>40</v>
      </c>
      <c r="B7" s="26">
        <f>B5+B6</f>
        <v>350</v>
      </c>
      <c r="C7" s="31">
        <f>C5+C6</f>
        <v>360</v>
      </c>
      <c r="D7" s="31">
        <f>D5+D6</f>
        <v>370</v>
      </c>
      <c r="E7" s="31">
        <f>E5+E6</f>
        <v>370</v>
      </c>
      <c r="G7" s="60" t="s">
        <v>103</v>
      </c>
      <c r="H7" s="96">
        <f>'10a-Beta - stabilní CK'!H7</f>
        <v>0.03</v>
      </c>
      <c r="J7" s="141"/>
      <c r="K7" s="142"/>
    </row>
    <row r="8" spans="1:11" ht="18.75" x14ac:dyDescent="0.35">
      <c r="A8" s="12" t="s">
        <v>42</v>
      </c>
      <c r="B8" s="27">
        <f>$H$6</f>
        <v>0.03</v>
      </c>
      <c r="C8" s="27">
        <f>$H$6</f>
        <v>0.03</v>
      </c>
      <c r="D8" s="27">
        <f>$H$6</f>
        <v>0.03</v>
      </c>
      <c r="E8" s="68">
        <f>$H$6</f>
        <v>0.03</v>
      </c>
      <c r="G8" s="60" t="s">
        <v>102</v>
      </c>
      <c r="H8" s="96">
        <f>'10a-Beta - stabilní CK'!H8</f>
        <v>0.12</v>
      </c>
      <c r="J8" s="144"/>
      <c r="K8" s="143"/>
    </row>
    <row r="9" spans="1:11" ht="18.75" x14ac:dyDescent="0.35">
      <c r="A9" s="13" t="s">
        <v>57</v>
      </c>
      <c r="B9" s="28">
        <f>$H$5</f>
        <v>0.2</v>
      </c>
      <c r="C9" s="28">
        <f>$H$5</f>
        <v>0.2</v>
      </c>
      <c r="D9" s="28">
        <f>$H$5</f>
        <v>0.2</v>
      </c>
      <c r="E9" s="69">
        <f>$H$5</f>
        <v>0.2</v>
      </c>
      <c r="G9" s="60" t="s">
        <v>104</v>
      </c>
      <c r="H9" s="146">
        <f>'10a-Beta - stabilní CK'!H9</f>
        <v>1</v>
      </c>
      <c r="J9" s="142"/>
      <c r="K9" s="141"/>
    </row>
    <row r="10" spans="1:11" ht="18.75" x14ac:dyDescent="0.35">
      <c r="A10" s="9" t="s">
        <v>15</v>
      </c>
      <c r="B10" s="90">
        <v>60</v>
      </c>
      <c r="C10" s="33">
        <f>B10*1.1</f>
        <v>66</v>
      </c>
      <c r="D10" s="33">
        <f>C10*1.1</f>
        <v>72.600000000000009</v>
      </c>
      <c r="E10" s="33">
        <f>D10</f>
        <v>72.600000000000009</v>
      </c>
      <c r="G10" s="60" t="s">
        <v>105</v>
      </c>
      <c r="H10" s="96">
        <f>H7+H8*H9</f>
        <v>0.15</v>
      </c>
      <c r="I10" s="147"/>
    </row>
    <row r="11" spans="1:11" x14ac:dyDescent="0.25">
      <c r="A11" s="1"/>
      <c r="B11" s="38"/>
      <c r="C11" s="38"/>
      <c r="D11" s="38"/>
      <c r="E11" s="38"/>
      <c r="G11" s="65" t="s">
        <v>36</v>
      </c>
      <c r="H11" s="93">
        <f>'1-MM, cílová struktura'!H10</f>
        <v>0</v>
      </c>
    </row>
    <row r="12" spans="1:11" x14ac:dyDescent="0.25">
      <c r="A12" s="57" t="s">
        <v>61</v>
      </c>
    </row>
    <row r="13" spans="1:11" x14ac:dyDescent="0.25">
      <c r="A13" s="17" t="s">
        <v>16</v>
      </c>
      <c r="B13" s="24">
        <f>B10*(1-B9)</f>
        <v>48</v>
      </c>
      <c r="C13" s="24">
        <f>C10*(1-C9)</f>
        <v>52.800000000000004</v>
      </c>
      <c r="D13" s="24">
        <f>D10*(1-D9)</f>
        <v>58.080000000000013</v>
      </c>
      <c r="E13" s="24">
        <f>E10*(1-E9)</f>
        <v>58.080000000000013</v>
      </c>
      <c r="H13" s="42"/>
    </row>
    <row r="14" spans="1:11" x14ac:dyDescent="0.25">
      <c r="A14" s="13" t="s">
        <v>41</v>
      </c>
      <c r="B14" s="14">
        <f>-(C7-B7)</f>
        <v>-10</v>
      </c>
      <c r="C14" s="14">
        <f>-(D7-C7)</f>
        <v>-10</v>
      </c>
      <c r="D14" s="14">
        <f>-(E7-D7)</f>
        <v>0</v>
      </c>
      <c r="E14" s="14">
        <f>-E7*H11</f>
        <v>0</v>
      </c>
    </row>
    <row r="15" spans="1:11" x14ac:dyDescent="0.25">
      <c r="A15" s="30" t="s">
        <v>14</v>
      </c>
      <c r="B15" s="31">
        <f>B13+B14</f>
        <v>38</v>
      </c>
      <c r="C15" s="31">
        <f>C13+C14</f>
        <v>42.800000000000004</v>
      </c>
      <c r="D15" s="31">
        <f>D13+D14</f>
        <v>58.080000000000013</v>
      </c>
      <c r="E15" s="31">
        <f>E13+E14</f>
        <v>58.080000000000013</v>
      </c>
    </row>
    <row r="16" spans="1:11" ht="18.75" x14ac:dyDescent="0.35">
      <c r="A16" s="82" t="s">
        <v>48</v>
      </c>
      <c r="B16" s="10">
        <f>-B8*B5*(1-B9)</f>
        <v>-4.08</v>
      </c>
      <c r="C16" s="10">
        <f>-C8*C5*(1-C9)</f>
        <v>-4.08</v>
      </c>
      <c r="D16" s="10">
        <f>-D8*D5*(1-D9)</f>
        <v>-4.08</v>
      </c>
      <c r="E16" s="10">
        <f>-E8*E5*(1-E9)</f>
        <v>-4.08</v>
      </c>
    </row>
    <row r="17" spans="1:11" x14ac:dyDescent="0.25">
      <c r="A17" s="25" t="s">
        <v>11</v>
      </c>
      <c r="B17" s="21">
        <f>C5-B5</f>
        <v>0</v>
      </c>
      <c r="C17" s="21">
        <f>D5-C5</f>
        <v>0</v>
      </c>
      <c r="D17" s="21">
        <f>E5-D5</f>
        <v>0</v>
      </c>
      <c r="E17" s="21">
        <f>E5*H11</f>
        <v>0</v>
      </c>
    </row>
    <row r="18" spans="1:11" x14ac:dyDescent="0.25">
      <c r="A18" s="9" t="s">
        <v>6</v>
      </c>
      <c r="B18" s="90">
        <f>SUM(B15:B17)</f>
        <v>33.92</v>
      </c>
      <c r="C18" s="90">
        <f t="shared" ref="C18:E18" si="0">SUM(C15:C17)</f>
        <v>38.720000000000006</v>
      </c>
      <c r="D18" s="90">
        <f t="shared" si="0"/>
        <v>54.000000000000014</v>
      </c>
      <c r="E18" s="90">
        <f t="shared" si="0"/>
        <v>54.000000000000014</v>
      </c>
    </row>
    <row r="19" spans="1:11" x14ac:dyDescent="0.25">
      <c r="A19" s="1"/>
      <c r="B19" s="38"/>
      <c r="C19" s="38"/>
      <c r="D19" s="38"/>
      <c r="E19" s="38"/>
    </row>
    <row r="20" spans="1:11" x14ac:dyDescent="0.25">
      <c r="A20" s="137" t="s">
        <v>115</v>
      </c>
      <c r="B20" s="38"/>
      <c r="C20" s="38"/>
      <c r="D20" s="38"/>
      <c r="E20" s="44"/>
      <c r="G20" s="137" t="s">
        <v>106</v>
      </c>
    </row>
    <row r="21" spans="1:11" x14ac:dyDescent="0.25">
      <c r="A21" s="54" t="s">
        <v>56</v>
      </c>
      <c r="B21" s="38"/>
      <c r="C21" s="38"/>
      <c r="D21" s="38"/>
      <c r="E21" s="44"/>
      <c r="G21" s="57" t="s">
        <v>109</v>
      </c>
    </row>
    <row r="22" spans="1:11" x14ac:dyDescent="0.25">
      <c r="A22" s="137" t="s">
        <v>120</v>
      </c>
      <c r="B22" s="38"/>
      <c r="C22" s="38"/>
      <c r="D22" s="38"/>
      <c r="E22" s="44"/>
      <c r="G22" s="71"/>
      <c r="H22" s="17"/>
      <c r="I22" s="17"/>
      <c r="J22" s="17"/>
      <c r="K22" s="148"/>
    </row>
    <row r="23" spans="1:11" x14ac:dyDescent="0.25">
      <c r="A23" s="137"/>
      <c r="B23" s="38"/>
      <c r="C23" s="38"/>
      <c r="D23" s="38"/>
      <c r="E23" s="44"/>
      <c r="G23" s="73"/>
      <c r="H23" s="12"/>
      <c r="I23" s="12"/>
      <c r="J23" s="12"/>
      <c r="K23" s="10"/>
    </row>
    <row r="24" spans="1:11" ht="17.25" x14ac:dyDescent="0.3">
      <c r="A24" s="137"/>
      <c r="B24" s="38"/>
      <c r="C24" s="38"/>
      <c r="D24" s="38"/>
      <c r="E24" s="44"/>
      <c r="G24" s="138" t="s">
        <v>110</v>
      </c>
      <c r="H24" s="149">
        <f ca="1">$H$9*(1+H28*(1-$H$5))</f>
        <v>1.6121018241219716</v>
      </c>
      <c r="I24" s="149">
        <f t="shared" ref="I24:K24" ca="1" si="1">$H$9*(1+I28*(1-$H$5))</f>
        <v>1.5716374269005848</v>
      </c>
      <c r="J24" s="149">
        <f t="shared" ca="1" si="1"/>
        <v>1.5414012738853504</v>
      </c>
      <c r="K24" s="149">
        <f t="shared" ca="1" si="1"/>
        <v>1.5414012738853504</v>
      </c>
    </row>
    <row r="25" spans="1:11" x14ac:dyDescent="0.25">
      <c r="A25" s="57" t="s">
        <v>59</v>
      </c>
      <c r="E25" s="2"/>
      <c r="G25" s="57" t="s">
        <v>59</v>
      </c>
    </row>
    <row r="26" spans="1:11" x14ac:dyDescent="0.25">
      <c r="A26" s="71" t="s">
        <v>58</v>
      </c>
      <c r="B26" s="100">
        <f ca="1">B36</f>
        <v>0.4334686165443975</v>
      </c>
      <c r="C26" s="19">
        <f ca="1">C36</f>
        <v>0.41675548923470473</v>
      </c>
      <c r="D26" s="19">
        <f ca="1">D36</f>
        <v>0.40360873694207011</v>
      </c>
      <c r="E26" s="19">
        <f ca="1">E36</f>
        <v>0.40360873694207017</v>
      </c>
      <c r="G26" s="71" t="s">
        <v>58</v>
      </c>
      <c r="H26" s="100">
        <f ca="1">H36</f>
        <v>0.43346861654439772</v>
      </c>
      <c r="I26" s="19">
        <f ca="1">I36</f>
        <v>0.41675548923470479</v>
      </c>
      <c r="J26" s="19">
        <f ca="1">J36</f>
        <v>0.40360873694207028</v>
      </c>
      <c r="K26" s="19">
        <f ca="1">K36</f>
        <v>0.40360873694207028</v>
      </c>
    </row>
    <row r="27" spans="1:11" x14ac:dyDescent="0.25">
      <c r="A27" s="73" t="s">
        <v>10</v>
      </c>
      <c r="B27" s="101">
        <f ca="1">(1-B26)</f>
        <v>0.5665313834556025</v>
      </c>
      <c r="C27" s="20">
        <f ca="1">(1-C26)</f>
        <v>0.58324451076529527</v>
      </c>
      <c r="D27" s="20">
        <f ca="1">(1-D26)</f>
        <v>0.59639126305792989</v>
      </c>
      <c r="E27" s="20">
        <f ca="1">(1-E26)</f>
        <v>0.59639126305792978</v>
      </c>
      <c r="G27" s="73" t="s">
        <v>10</v>
      </c>
      <c r="H27" s="101">
        <f ca="1">(1-H26)</f>
        <v>0.56653138345560228</v>
      </c>
      <c r="I27" s="20">
        <f ca="1">(1-I26)</f>
        <v>0.58324451076529527</v>
      </c>
      <c r="J27" s="20">
        <f ca="1">(1-J26)</f>
        <v>0.59639126305792978</v>
      </c>
      <c r="K27" s="20">
        <f ca="1">(1-K26)</f>
        <v>0.59639126305792978</v>
      </c>
    </row>
    <row r="28" spans="1:11" x14ac:dyDescent="0.25">
      <c r="A28" s="73" t="s">
        <v>13</v>
      </c>
      <c r="B28" s="102">
        <f ca="1">B26/B27</f>
        <v>0.76512728015246345</v>
      </c>
      <c r="C28" s="18">
        <f ca="1">C26/C27</f>
        <v>0.71454678362573099</v>
      </c>
      <c r="D28" s="18">
        <f ca="1">D26/D27</f>
        <v>0.67675159235668747</v>
      </c>
      <c r="E28" s="18">
        <f ca="1">E26/E27</f>
        <v>0.67675159235668769</v>
      </c>
      <c r="G28" s="73" t="s">
        <v>13</v>
      </c>
      <c r="H28" s="102">
        <f ca="1">H26/H27</f>
        <v>0.76512728015246423</v>
      </c>
      <c r="I28" s="18">
        <f ca="1">I26/I27</f>
        <v>0.71454678362573099</v>
      </c>
      <c r="J28" s="18">
        <f ca="1">J26/J27</f>
        <v>0.6767515923566878</v>
      </c>
      <c r="K28" s="18">
        <f ca="1">K26/K27</f>
        <v>0.6767515923566878</v>
      </c>
    </row>
    <row r="29" spans="1:11" ht="18.75" x14ac:dyDescent="0.35">
      <c r="A29" s="71" t="s">
        <v>60</v>
      </c>
      <c r="B29" s="72">
        <f>B8*(1-B9)</f>
        <v>2.4E-2</v>
      </c>
      <c r="C29" s="72">
        <f>C8*(1-C9)</f>
        <v>2.4E-2</v>
      </c>
      <c r="D29" s="72">
        <f>D8*(1-D9)</f>
        <v>2.4E-2</v>
      </c>
      <c r="E29" s="72">
        <f>E8*(1-E9)</f>
        <v>2.4E-2</v>
      </c>
      <c r="G29" s="71" t="s">
        <v>60</v>
      </c>
      <c r="H29" s="72">
        <f>B8*(1-B9)</f>
        <v>2.4E-2</v>
      </c>
      <c r="I29" s="72">
        <f t="shared" ref="I29:K29" si="2">C8*(1-C9)</f>
        <v>2.4E-2</v>
      </c>
      <c r="J29" s="72">
        <f t="shared" si="2"/>
        <v>2.4E-2</v>
      </c>
      <c r="K29" s="72">
        <f t="shared" si="2"/>
        <v>2.4E-2</v>
      </c>
    </row>
    <row r="30" spans="1:11" ht="17.25" x14ac:dyDescent="0.3">
      <c r="A30" s="138" t="s">
        <v>101</v>
      </c>
      <c r="B30" s="139">
        <f ca="1">$H$10+($H$10-B8)*B28*(1-B9)</f>
        <v>0.22345221889463648</v>
      </c>
      <c r="C30" s="139">
        <f ca="1">$H$10+($H$10-C8)*C28*(1-C9)</f>
        <v>0.21859649122807018</v>
      </c>
      <c r="D30" s="139">
        <f ca="1">$H$10+($H$10-D8)*D28*(1-D9)</f>
        <v>0.21496815286624199</v>
      </c>
      <c r="E30" s="139">
        <f ca="1">$H$10+($H$10-E8)*E28*(1-E9)</f>
        <v>0.21496815286624199</v>
      </c>
      <c r="G30" s="138" t="s">
        <v>108</v>
      </c>
      <c r="H30" s="139">
        <f ca="1">$H$7+$H$8*H24</f>
        <v>0.22345221889463657</v>
      </c>
      <c r="I30" s="139">
        <f t="shared" ref="I30:K30" ca="1" si="3">$H$7+$H$8*I24</f>
        <v>0.21859649122807018</v>
      </c>
      <c r="J30" s="139">
        <f t="shared" ca="1" si="3"/>
        <v>0.21496815286624205</v>
      </c>
      <c r="K30" s="139">
        <f t="shared" ca="1" si="3"/>
        <v>0.21496815286624205</v>
      </c>
    </row>
    <row r="31" spans="1:11" x14ac:dyDescent="0.25">
      <c r="A31" s="77" t="s">
        <v>63</v>
      </c>
      <c r="B31" s="104">
        <f ca="1">B29*B26+B30*B27</f>
        <v>0.13699594150366806</v>
      </c>
      <c r="C31" s="104">
        <f t="shared" ref="C31:E31" ca="1" si="4">C29*C26+C30*C27</f>
        <v>0.13749733532295888</v>
      </c>
      <c r="D31" s="104">
        <f t="shared" ca="1" si="4"/>
        <v>0.13789173789173789</v>
      </c>
      <c r="E31" s="104">
        <f t="shared" ca="1" si="4"/>
        <v>0.13789173789173786</v>
      </c>
      <c r="G31" s="77" t="s">
        <v>63</v>
      </c>
      <c r="H31" s="104">
        <f ca="1">H29*H26+H30*H27</f>
        <v>0.13699594150366809</v>
      </c>
      <c r="I31" s="104">
        <f t="shared" ref="I31:K31" ca="1" si="5">I29*I26+I30*I27</f>
        <v>0.13749733532295888</v>
      </c>
      <c r="J31" s="104">
        <f t="shared" ca="1" si="5"/>
        <v>0.13789173789173792</v>
      </c>
      <c r="K31" s="104">
        <f t="shared" ca="1" si="5"/>
        <v>0.13789173789173792</v>
      </c>
    </row>
    <row r="32" spans="1:11" x14ac:dyDescent="0.25">
      <c r="A32" s="17" t="s">
        <v>14</v>
      </c>
      <c r="B32" s="24">
        <f>B$15</f>
        <v>38</v>
      </c>
      <c r="C32" s="24">
        <f>C$15</f>
        <v>42.800000000000004</v>
      </c>
      <c r="D32" s="24">
        <f>D$15</f>
        <v>58.080000000000013</v>
      </c>
      <c r="E32" s="24">
        <f>E15</f>
        <v>58.080000000000013</v>
      </c>
      <c r="G32" s="17" t="s">
        <v>14</v>
      </c>
      <c r="H32" s="24">
        <f>B$15</f>
        <v>38</v>
      </c>
      <c r="I32" s="24">
        <f t="shared" ref="I32:K32" si="6">C$15</f>
        <v>42.800000000000004</v>
      </c>
      <c r="J32" s="24">
        <f t="shared" si="6"/>
        <v>58.080000000000013</v>
      </c>
      <c r="K32" s="24">
        <f t="shared" si="6"/>
        <v>58.080000000000013</v>
      </c>
    </row>
    <row r="33" spans="1:11" x14ac:dyDescent="0.25">
      <c r="A33" s="15" t="s">
        <v>5</v>
      </c>
      <c r="B33" s="16">
        <f ca="1">(C33+B32)/(1+B31)</f>
        <v>392.18525519848771</v>
      </c>
      <c r="C33" s="16">
        <f ca="1">(D33+C32)/(1+C31)</f>
        <v>407.91304347826099</v>
      </c>
      <c r="D33" s="16">
        <f ca="1">(E33+D32)/(1+D31)</f>
        <v>421.20000000000005</v>
      </c>
      <c r="E33" s="16">
        <f ca="1">E32/(E31-H11)</f>
        <v>421.20000000000016</v>
      </c>
      <c r="G33" s="15" t="s">
        <v>5</v>
      </c>
      <c r="H33" s="16">
        <f ca="1">(I33+H32)/(1+H31)</f>
        <v>392.18525519848765</v>
      </c>
      <c r="I33" s="16">
        <f ca="1">(J33+I32)/(1+I31)</f>
        <v>407.91304347826082</v>
      </c>
      <c r="J33" s="16">
        <f ca="1">(K33+J32)/(1+J31)</f>
        <v>421.2</v>
      </c>
      <c r="K33" s="16">
        <f ca="1">K32/(K31-$H$11)</f>
        <v>421.2</v>
      </c>
    </row>
    <row r="34" spans="1:11" x14ac:dyDescent="0.25">
      <c r="A34" s="17" t="s">
        <v>38</v>
      </c>
      <c r="B34" s="108">
        <f>B5</f>
        <v>170</v>
      </c>
      <c r="C34" s="108">
        <f>C5</f>
        <v>170</v>
      </c>
      <c r="D34" s="108">
        <f>D5</f>
        <v>170</v>
      </c>
      <c r="E34" s="108">
        <f>E5</f>
        <v>170</v>
      </c>
      <c r="G34" s="17" t="s">
        <v>38</v>
      </c>
      <c r="H34" s="108">
        <f>B5</f>
        <v>170</v>
      </c>
      <c r="I34" s="108">
        <f t="shared" ref="I34:K34" si="7">C5</f>
        <v>170</v>
      </c>
      <c r="J34" s="108">
        <f t="shared" si="7"/>
        <v>170</v>
      </c>
      <c r="K34" s="108">
        <f t="shared" si="7"/>
        <v>170</v>
      </c>
    </row>
    <row r="35" spans="1:11" x14ac:dyDescent="0.25">
      <c r="A35" s="80" t="s">
        <v>49</v>
      </c>
      <c r="B35" s="81">
        <f ca="1">B33-B34</f>
        <v>222.18525519848771</v>
      </c>
      <c r="C35" s="37">
        <f t="shared" ref="C35:E35" ca="1" si="8">C33-C34</f>
        <v>237.91304347826099</v>
      </c>
      <c r="D35" s="37">
        <f t="shared" ca="1" si="8"/>
        <v>251.20000000000005</v>
      </c>
      <c r="E35" s="37">
        <f t="shared" ca="1" si="8"/>
        <v>251.20000000000016</v>
      </c>
      <c r="G35" s="80" t="s">
        <v>49</v>
      </c>
      <c r="H35" s="81">
        <f ca="1">H33-H34</f>
        <v>222.18525519848765</v>
      </c>
      <c r="I35" s="37">
        <f t="shared" ref="I35:K35" ca="1" si="9">I33-I34</f>
        <v>237.91304347826082</v>
      </c>
      <c r="J35" s="37">
        <f t="shared" ca="1" si="9"/>
        <v>251.2</v>
      </c>
      <c r="K35" s="37">
        <f t="shared" ca="1" si="9"/>
        <v>251.2</v>
      </c>
    </row>
    <row r="36" spans="1:11" ht="18.75" x14ac:dyDescent="0.35">
      <c r="A36" s="13" t="s">
        <v>46</v>
      </c>
      <c r="B36" s="32">
        <f ca="1">B34/B33</f>
        <v>0.43346861654439767</v>
      </c>
      <c r="C36" s="32">
        <f t="shared" ref="C36:E36" ca="1" si="10">C34/C33</f>
        <v>0.41675548923470462</v>
      </c>
      <c r="D36" s="32">
        <f t="shared" ca="1" si="10"/>
        <v>0.40360873694207022</v>
      </c>
      <c r="E36" s="32">
        <f t="shared" ca="1" si="10"/>
        <v>0.40360873694207011</v>
      </c>
      <c r="G36" s="13" t="s">
        <v>46</v>
      </c>
      <c r="H36" s="32">
        <f ca="1">H34/H33</f>
        <v>0.43346861654439772</v>
      </c>
      <c r="I36" s="32">
        <f t="shared" ref="I36:K36" ca="1" si="11">I34/I33</f>
        <v>0.41675548923470479</v>
      </c>
      <c r="J36" s="32">
        <f t="shared" ca="1" si="11"/>
        <v>0.40360873694207028</v>
      </c>
      <c r="K36" s="32">
        <f t="shared" ca="1" si="11"/>
        <v>0.40360873694207028</v>
      </c>
    </row>
    <row r="38" spans="1:11" x14ac:dyDescent="0.25">
      <c r="A38" s="57" t="s">
        <v>67</v>
      </c>
      <c r="G38" s="57" t="s">
        <v>67</v>
      </c>
    </row>
    <row r="39" spans="1:11" x14ac:dyDescent="0.25">
      <c r="A39" s="17" t="s">
        <v>6</v>
      </c>
      <c r="B39" s="24">
        <f>B18</f>
        <v>33.92</v>
      </c>
      <c r="C39" s="24">
        <f t="shared" ref="C39:E39" si="12">C18</f>
        <v>38.720000000000006</v>
      </c>
      <c r="D39" s="24">
        <f t="shared" si="12"/>
        <v>54.000000000000014</v>
      </c>
      <c r="E39" s="24">
        <f t="shared" si="12"/>
        <v>54.000000000000014</v>
      </c>
      <c r="G39" s="17" t="s">
        <v>6</v>
      </c>
      <c r="H39" s="24">
        <f>B18</f>
        <v>33.92</v>
      </c>
      <c r="I39" s="24">
        <f t="shared" ref="I39:K39" si="13">C18</f>
        <v>38.720000000000006</v>
      </c>
      <c r="J39" s="24">
        <f t="shared" si="13"/>
        <v>54.000000000000014</v>
      </c>
      <c r="K39" s="24">
        <f t="shared" si="13"/>
        <v>54.000000000000014</v>
      </c>
    </row>
    <row r="40" spans="1:11" ht="17.25" x14ac:dyDescent="0.3">
      <c r="A40" s="97" t="s">
        <v>62</v>
      </c>
      <c r="B40" s="103">
        <f ca="1">B30</f>
        <v>0.22345221889463648</v>
      </c>
      <c r="C40" s="103">
        <f ca="1">C30</f>
        <v>0.21859649122807018</v>
      </c>
      <c r="D40" s="103">
        <f ca="1">D30</f>
        <v>0.21496815286624199</v>
      </c>
      <c r="E40" s="103">
        <f ca="1">E30</f>
        <v>0.21496815286624199</v>
      </c>
      <c r="G40" s="97" t="s">
        <v>111</v>
      </c>
      <c r="H40" s="103">
        <f ca="1">$H$7+$H$8*H24</f>
        <v>0.22345221889463657</v>
      </c>
      <c r="I40" s="103">
        <f t="shared" ref="I40:K40" ca="1" si="14">$H$7+$H$8*I24</f>
        <v>0.21859649122807018</v>
      </c>
      <c r="J40" s="103">
        <f t="shared" ca="1" si="14"/>
        <v>0.21496815286624205</v>
      </c>
      <c r="K40" s="103">
        <f t="shared" ca="1" si="14"/>
        <v>0.21496815286624205</v>
      </c>
    </row>
    <row r="41" spans="1:11" x14ac:dyDescent="0.25">
      <c r="A41" s="83" t="s">
        <v>49</v>
      </c>
      <c r="B41" s="106">
        <f ca="1">(C41+B39)/(1+B40)</f>
        <v>222.18525519848788</v>
      </c>
      <c r="C41" s="107">
        <f ca="1">(D41+C39)/(1+C40)</f>
        <v>237.91304347826102</v>
      </c>
      <c r="D41" s="107">
        <f ca="1">(E41+D39)/(1+D40)</f>
        <v>251.20000000000016</v>
      </c>
      <c r="E41" s="107">
        <f ca="1">E39/(E40-H11)</f>
        <v>251.20000000000013</v>
      </c>
      <c r="G41" s="83" t="s">
        <v>49</v>
      </c>
      <c r="H41" s="106">
        <f t="shared" ref="H41:I41" ca="1" si="15">(I41+H39)/(1+H40)</f>
        <v>222.18525519848771</v>
      </c>
      <c r="I41" s="107">
        <f t="shared" ca="1" si="15"/>
        <v>237.91304347826087</v>
      </c>
      <c r="J41" s="107">
        <f ca="1">(K41+J39)/(1+J40)</f>
        <v>251.20000000000002</v>
      </c>
      <c r="K41" s="107">
        <f ca="1">K39/(K40-$H$11)</f>
        <v>251.20000000000005</v>
      </c>
    </row>
    <row r="42" spans="1:11" x14ac:dyDescent="0.25">
      <c r="A42" s="7"/>
      <c r="G42" s="7"/>
    </row>
    <row r="43" spans="1:11" ht="18.75" x14ac:dyDescent="0.35">
      <c r="A43" s="57" t="s">
        <v>64</v>
      </c>
      <c r="B43" s="3"/>
      <c r="C43" s="3"/>
      <c r="D43" s="3"/>
      <c r="G43" s="166" t="s">
        <v>116</v>
      </c>
      <c r="H43" s="166"/>
      <c r="I43" s="166"/>
      <c r="J43" s="166"/>
      <c r="K43" s="166"/>
    </row>
    <row r="44" spans="1:11" ht="17.25" x14ac:dyDescent="0.3">
      <c r="A44" s="75" t="s">
        <v>53</v>
      </c>
      <c r="B44" s="76">
        <f>$H$10</f>
        <v>0.15</v>
      </c>
      <c r="C44" s="76">
        <f>$H$10</f>
        <v>0.15</v>
      </c>
      <c r="D44" s="76">
        <f>$H$10</f>
        <v>0.15</v>
      </c>
      <c r="E44" s="76">
        <f>$H$10</f>
        <v>0.15</v>
      </c>
      <c r="G44" s="166" t="s">
        <v>117</v>
      </c>
      <c r="H44" s="166"/>
      <c r="I44" s="166"/>
      <c r="J44" s="166"/>
      <c r="K44" s="166"/>
    </row>
    <row r="45" spans="1:11" ht="18.75" x14ac:dyDescent="0.35">
      <c r="A45" s="12" t="s">
        <v>14</v>
      </c>
      <c r="B45" s="21">
        <f>B15</f>
        <v>38</v>
      </c>
      <c r="C45" s="21">
        <f t="shared" ref="C45:E45" si="16">C15</f>
        <v>42.800000000000004</v>
      </c>
      <c r="D45" s="21">
        <f t="shared" si="16"/>
        <v>58.080000000000013</v>
      </c>
      <c r="E45" s="21">
        <f t="shared" si="16"/>
        <v>58.080000000000013</v>
      </c>
      <c r="G45" s="166" t="s">
        <v>118</v>
      </c>
      <c r="H45" s="166"/>
      <c r="I45" s="166"/>
      <c r="J45" s="166"/>
      <c r="K45" s="166"/>
    </row>
    <row r="46" spans="1:11" x14ac:dyDescent="0.25">
      <c r="A46" s="86" t="s">
        <v>51</v>
      </c>
      <c r="B46" s="21">
        <f>(C46+B45)/(1+B44)</f>
        <v>358.18525519848782</v>
      </c>
      <c r="C46" s="21">
        <f>(D46+C45)/(1+C44)</f>
        <v>373.91304347826099</v>
      </c>
      <c r="D46" s="21">
        <f>(E46+D45)/(1+D44)</f>
        <v>387.2000000000001</v>
      </c>
      <c r="E46" s="10">
        <f>E45/(E44-$H$11)</f>
        <v>387.2000000000001</v>
      </c>
    </row>
    <row r="47" spans="1:11" ht="18.75" x14ac:dyDescent="0.35">
      <c r="A47" s="82" t="s">
        <v>52</v>
      </c>
      <c r="B47" s="29">
        <f>B8</f>
        <v>0.03</v>
      </c>
      <c r="C47" s="29">
        <f>C8</f>
        <v>0.03</v>
      </c>
      <c r="D47" s="29">
        <f>D8</f>
        <v>0.03</v>
      </c>
      <c r="E47" s="29">
        <f>E8</f>
        <v>0.03</v>
      </c>
    </row>
    <row r="48" spans="1:11" x14ac:dyDescent="0.25">
      <c r="A48" s="82" t="s">
        <v>50</v>
      </c>
      <c r="B48" s="21">
        <f>B8*B5*B9</f>
        <v>1.02</v>
      </c>
      <c r="C48" s="21">
        <f>C8*C5*C9</f>
        <v>1.02</v>
      </c>
      <c r="D48" s="21">
        <f>D8*D5*D9</f>
        <v>1.02</v>
      </c>
      <c r="E48" s="21">
        <f>E8*E5*E9</f>
        <v>1.02</v>
      </c>
    </row>
    <row r="49" spans="1:5" x14ac:dyDescent="0.25">
      <c r="A49" s="13" t="s">
        <v>137</v>
      </c>
      <c r="B49" s="34">
        <f>(C49+B48)/(1+B47)</f>
        <v>34</v>
      </c>
      <c r="C49" s="14">
        <f>(D49+C48)/(1+C47)</f>
        <v>34</v>
      </c>
      <c r="D49" s="14">
        <f>(E49+D48)/(1+D47)</f>
        <v>34</v>
      </c>
      <c r="E49" s="14">
        <f>E48/(E47-$H$11)</f>
        <v>34</v>
      </c>
    </row>
    <row r="50" spans="1:5" x14ac:dyDescent="0.25">
      <c r="A50" s="35" t="s">
        <v>9</v>
      </c>
      <c r="B50" s="36">
        <f>B46+B49</f>
        <v>392.18525519848782</v>
      </c>
      <c r="C50" s="36">
        <f>C46+C49</f>
        <v>407.91304347826099</v>
      </c>
      <c r="D50" s="36">
        <f>D46+D49</f>
        <v>421.2000000000001</v>
      </c>
      <c r="E50" s="36">
        <f>E46+E49</f>
        <v>421.2000000000001</v>
      </c>
    </row>
    <row r="51" spans="1:5" x14ac:dyDescent="0.25">
      <c r="A51" s="40" t="s">
        <v>2</v>
      </c>
      <c r="B51" s="41">
        <f>B5</f>
        <v>170</v>
      </c>
      <c r="C51" s="41">
        <f>C5</f>
        <v>170</v>
      </c>
      <c r="D51" s="41">
        <f>D5</f>
        <v>170</v>
      </c>
      <c r="E51" s="41">
        <f>E5</f>
        <v>170</v>
      </c>
    </row>
    <row r="52" spans="1:5" x14ac:dyDescent="0.25">
      <c r="A52" s="83" t="s">
        <v>49</v>
      </c>
      <c r="B52" s="105">
        <f>B50-B51</f>
        <v>222.18525519848782</v>
      </c>
      <c r="C52" s="85">
        <f t="shared" ref="C52:E52" si="17">C50-C51</f>
        <v>237.91304347826099</v>
      </c>
      <c r="D52" s="85">
        <f t="shared" si="17"/>
        <v>251.2000000000001</v>
      </c>
      <c r="E52" s="85">
        <f t="shared" si="17"/>
        <v>251.2000000000001</v>
      </c>
    </row>
    <row r="53" spans="1:5" x14ac:dyDescent="0.25">
      <c r="B53" s="8"/>
      <c r="C53" s="1"/>
      <c r="D53" s="1"/>
      <c r="E53" s="8"/>
    </row>
    <row r="57" spans="1:5" x14ac:dyDescent="0.25">
      <c r="A57" s="7"/>
    </row>
    <row r="58" spans="1:5" x14ac:dyDescent="0.25">
      <c r="A58" s="7"/>
    </row>
    <row r="59" spans="1:5" x14ac:dyDescent="0.25">
      <c r="A59" s="7"/>
    </row>
    <row r="60" spans="1:5" x14ac:dyDescent="0.25">
      <c r="A60" s="7"/>
    </row>
    <row r="61" spans="1:5" x14ac:dyDescent="0.25">
      <c r="A61" s="7"/>
    </row>
    <row r="62" spans="1:5" x14ac:dyDescent="0.25">
      <c r="A62" s="7"/>
    </row>
    <row r="63" spans="1:5" x14ac:dyDescent="0.25">
      <c r="A63" s="7"/>
    </row>
    <row r="64" spans="1:5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hyperlinks>
    <hyperlink ref="I1" location="Úvod!A31" display="Skok na obsah" xr:uid="{E81F4D4F-4350-4419-ADD1-2660731D8C68}"/>
  </hyperlinks>
  <printOptions gridLinesSet="0"/>
  <pageMargins left="0.78740157480314965" right="0.78740157480314965" top="0.98425196850393704" bottom="0.78740157480314965" header="0.51181102362204722" footer="0.51181102362204722"/>
  <pageSetup paperSize="9" scale="54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rowBreaks count="1" manualBreakCount="1">
    <brk id="49" max="65535" man="1"/>
  </rowBreaks>
  <drawing r:id="rId2"/>
  <legacyDrawing r:id="rId3"/>
  <oleObjects>
    <mc:AlternateContent xmlns:mc="http://schemas.openxmlformats.org/markup-compatibility/2006">
      <mc:Choice Requires="x14">
        <oleObject progId="Equation.3" shapeId="86017" r:id="rId4">
          <objectPr defaultSize="0" autoPict="0" r:id="rId5">
            <anchor moveWithCells="1" sizeWithCells="1">
              <from>
                <xdr:col>11</xdr:col>
                <xdr:colOff>219075</xdr:colOff>
                <xdr:row>22</xdr:row>
                <xdr:rowOff>76200</xdr:rowOff>
              </from>
              <to>
                <xdr:col>13</xdr:col>
                <xdr:colOff>533400</xdr:colOff>
                <xdr:row>24</xdr:row>
                <xdr:rowOff>66675</xdr:rowOff>
              </to>
            </anchor>
          </objectPr>
        </oleObject>
      </mc:Choice>
      <mc:Fallback>
        <oleObject progId="Equation.3" shapeId="8601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2E73-35E8-4D82-9A4A-03B81EEF5810}">
  <sheetPr>
    <pageSetUpPr fitToPage="1"/>
  </sheetPr>
  <dimension ref="A1:K72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22.625" customWidth="1"/>
  </cols>
  <sheetData>
    <row r="1" spans="1:11" ht="18.75" x14ac:dyDescent="0.3">
      <c r="A1" s="53" t="s">
        <v>125</v>
      </c>
      <c r="B1" s="54" t="s">
        <v>121</v>
      </c>
      <c r="I1" s="172" t="s">
        <v>164</v>
      </c>
    </row>
    <row r="2" spans="1:11" x14ac:dyDescent="0.25">
      <c r="B2" s="54"/>
    </row>
    <row r="3" spans="1:11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G3" s="55" t="s">
        <v>0</v>
      </c>
      <c r="H3" s="56">
        <f>'1-MM, cílová struktura'!$B$3</f>
        <v>2023</v>
      </c>
      <c r="I3" s="56">
        <f>H3+1</f>
        <v>2024</v>
      </c>
      <c r="J3" s="56">
        <f>I3+1</f>
        <v>2025</v>
      </c>
      <c r="K3" s="56" t="s">
        <v>1</v>
      </c>
    </row>
    <row r="4" spans="1:11" ht="17.25" customHeight="1" x14ac:dyDescent="0.25">
      <c r="A4" s="57" t="s">
        <v>100</v>
      </c>
      <c r="G4" s="1" t="s">
        <v>37</v>
      </c>
    </row>
    <row r="5" spans="1:11" x14ac:dyDescent="0.25">
      <c r="A5" s="17" t="s">
        <v>38</v>
      </c>
      <c r="B5" s="91">
        <f>'1-MM, cílová struktura'!B5</f>
        <v>170</v>
      </c>
      <c r="C5" s="24">
        <f>'1-MM, cílová struktura'!C5</f>
        <v>170</v>
      </c>
      <c r="D5" s="24">
        <f>'1-MM, cílová struktura'!D5</f>
        <v>170</v>
      </c>
      <c r="E5" s="24">
        <f>'1-MM, cílová struktura'!E5</f>
        <v>170</v>
      </c>
      <c r="G5" s="65" t="s">
        <v>7</v>
      </c>
      <c r="H5" s="93">
        <f>'1-MM, cílová struktura'!H6</f>
        <v>0.2</v>
      </c>
    </row>
    <row r="6" spans="1:11" ht="18.75" x14ac:dyDescent="0.35">
      <c r="A6" s="12" t="s">
        <v>39</v>
      </c>
      <c r="B6" s="92">
        <f>'1-MM, cílová struktura'!B6</f>
        <v>180</v>
      </c>
      <c r="C6" s="21">
        <f>'1-MM, cílová struktura'!C6</f>
        <v>190</v>
      </c>
      <c r="D6" s="21">
        <f>'1-MM, cílová struktura'!D6</f>
        <v>200</v>
      </c>
      <c r="E6" s="21">
        <f>'1-MM, cílová struktura'!E6</f>
        <v>200</v>
      </c>
      <c r="G6" s="151" t="s">
        <v>34</v>
      </c>
      <c r="H6" s="152">
        <f>'1-MM, cílová struktura'!H7</f>
        <v>0.05</v>
      </c>
      <c r="K6" s="140"/>
    </row>
    <row r="7" spans="1:11" ht="18.75" x14ac:dyDescent="0.35">
      <c r="A7" s="30" t="s">
        <v>40</v>
      </c>
      <c r="B7" s="26">
        <f>B5+B6</f>
        <v>350</v>
      </c>
      <c r="C7" s="31">
        <f>C5+C6</f>
        <v>360</v>
      </c>
      <c r="D7" s="31">
        <f>D5+D6</f>
        <v>370</v>
      </c>
      <c r="E7" s="31">
        <f>E5+E6</f>
        <v>370</v>
      </c>
      <c r="G7" s="60" t="s">
        <v>103</v>
      </c>
      <c r="H7" s="96">
        <f>'10a-Beta - stabilní CK'!H7</f>
        <v>0.03</v>
      </c>
      <c r="J7" s="141"/>
      <c r="K7" s="142"/>
    </row>
    <row r="8" spans="1:11" ht="18.75" x14ac:dyDescent="0.35">
      <c r="A8" s="12" t="s">
        <v>42</v>
      </c>
      <c r="B8" s="27">
        <f>$H$6</f>
        <v>0.05</v>
      </c>
      <c r="C8" s="27">
        <f>$H$6</f>
        <v>0.05</v>
      </c>
      <c r="D8" s="27">
        <f>$H$6</f>
        <v>0.05</v>
      </c>
      <c r="E8" s="68">
        <f>$H$6</f>
        <v>0.05</v>
      </c>
      <c r="G8" s="60" t="s">
        <v>102</v>
      </c>
      <c r="H8" s="96">
        <f>'10a-Beta - stabilní CK'!H8</f>
        <v>0.12</v>
      </c>
      <c r="J8" s="144"/>
      <c r="K8" s="143"/>
    </row>
    <row r="9" spans="1:11" ht="18.75" x14ac:dyDescent="0.35">
      <c r="A9" s="13" t="s">
        <v>57</v>
      </c>
      <c r="B9" s="28">
        <f>$H$5</f>
        <v>0.2</v>
      </c>
      <c r="C9" s="28">
        <f>$H$5</f>
        <v>0.2</v>
      </c>
      <c r="D9" s="28">
        <f>$H$5</f>
        <v>0.2</v>
      </c>
      <c r="E9" s="69">
        <f>$H$5</f>
        <v>0.2</v>
      </c>
      <c r="G9" s="60" t="s">
        <v>104</v>
      </c>
      <c r="H9" s="146">
        <f>'10a-Beta - stabilní CK'!H9</f>
        <v>1</v>
      </c>
      <c r="J9" s="142"/>
      <c r="K9" s="141"/>
    </row>
    <row r="10" spans="1:11" ht="18.75" x14ac:dyDescent="0.35">
      <c r="A10" s="9" t="s">
        <v>15</v>
      </c>
      <c r="B10" s="90">
        <v>60</v>
      </c>
      <c r="C10" s="33">
        <f>B10*1.1</f>
        <v>66</v>
      </c>
      <c r="D10" s="33">
        <f>C10*1.1</f>
        <v>72.600000000000009</v>
      </c>
      <c r="E10" s="33">
        <f>D10</f>
        <v>72.600000000000009</v>
      </c>
      <c r="G10" s="60" t="s">
        <v>105</v>
      </c>
      <c r="H10" s="96">
        <f>H7+H8*H9</f>
        <v>0.15</v>
      </c>
      <c r="I10" s="147"/>
    </row>
    <row r="11" spans="1:11" x14ac:dyDescent="0.25">
      <c r="A11" s="1"/>
      <c r="B11" s="38"/>
      <c r="C11" s="38"/>
      <c r="D11" s="38"/>
      <c r="E11" s="38"/>
      <c r="G11" s="65" t="s">
        <v>36</v>
      </c>
      <c r="H11" s="93">
        <f>'1-MM, cílová struktura'!H10</f>
        <v>0</v>
      </c>
    </row>
    <row r="12" spans="1:11" x14ac:dyDescent="0.25">
      <c r="A12" s="57" t="s">
        <v>61</v>
      </c>
    </row>
    <row r="13" spans="1:11" x14ac:dyDescent="0.25">
      <c r="A13" s="17" t="s">
        <v>16</v>
      </c>
      <c r="B13" s="24">
        <f>B10*(1-B9)</f>
        <v>48</v>
      </c>
      <c r="C13" s="24">
        <f>C10*(1-C9)</f>
        <v>52.800000000000004</v>
      </c>
      <c r="D13" s="24">
        <f>D10*(1-D9)</f>
        <v>58.080000000000013</v>
      </c>
      <c r="E13" s="24">
        <f>E10*(1-E9)</f>
        <v>58.080000000000013</v>
      </c>
      <c r="H13" s="42"/>
    </row>
    <row r="14" spans="1:11" x14ac:dyDescent="0.25">
      <c r="A14" s="13" t="s">
        <v>41</v>
      </c>
      <c r="B14" s="14">
        <f>-(C7-B7)</f>
        <v>-10</v>
      </c>
      <c r="C14" s="14">
        <f>-(D7-C7)</f>
        <v>-10</v>
      </c>
      <c r="D14" s="14">
        <f>-(E7-D7)</f>
        <v>0</v>
      </c>
      <c r="E14" s="14">
        <f>-E7*H11</f>
        <v>0</v>
      </c>
    </row>
    <row r="15" spans="1:11" x14ac:dyDescent="0.25">
      <c r="A15" s="30" t="s">
        <v>14</v>
      </c>
      <c r="B15" s="31">
        <f>B13+B14</f>
        <v>38</v>
      </c>
      <c r="C15" s="31">
        <f>C13+C14</f>
        <v>42.800000000000004</v>
      </c>
      <c r="D15" s="31">
        <f>D13+D14</f>
        <v>58.080000000000013</v>
      </c>
      <c r="E15" s="31">
        <f>E13+E14</f>
        <v>58.080000000000013</v>
      </c>
    </row>
    <row r="16" spans="1:11" ht="18.75" x14ac:dyDescent="0.35">
      <c r="A16" s="82" t="s">
        <v>48</v>
      </c>
      <c r="B16" s="10">
        <f>-B8*B5*(1-B9)</f>
        <v>-6.8000000000000007</v>
      </c>
      <c r="C16" s="10">
        <f>-C8*C5*(1-C9)</f>
        <v>-6.8000000000000007</v>
      </c>
      <c r="D16" s="10">
        <f>-D8*D5*(1-D9)</f>
        <v>-6.8000000000000007</v>
      </c>
      <c r="E16" s="10">
        <f>-E8*E5*(1-E9)</f>
        <v>-6.8000000000000007</v>
      </c>
    </row>
    <row r="17" spans="1:11" x14ac:dyDescent="0.25">
      <c r="A17" s="25" t="s">
        <v>11</v>
      </c>
      <c r="B17" s="21">
        <f>C5-B5</f>
        <v>0</v>
      </c>
      <c r="C17" s="21">
        <f>D5-C5</f>
        <v>0</v>
      </c>
      <c r="D17" s="21">
        <f>E5-D5</f>
        <v>0</v>
      </c>
      <c r="E17" s="21">
        <f>E5*H11</f>
        <v>0</v>
      </c>
    </row>
    <row r="18" spans="1:11" x14ac:dyDescent="0.25">
      <c r="A18" s="9" t="s">
        <v>6</v>
      </c>
      <c r="B18" s="90">
        <f>SUM(B15:B17)</f>
        <v>31.2</v>
      </c>
      <c r="C18" s="90">
        <f t="shared" ref="C18:E18" si="0">SUM(C15:C17)</f>
        <v>36</v>
      </c>
      <c r="D18" s="90">
        <f t="shared" si="0"/>
        <v>51.280000000000015</v>
      </c>
      <c r="E18" s="90">
        <f t="shared" si="0"/>
        <v>51.280000000000015</v>
      </c>
    </row>
    <row r="19" spans="1:11" x14ac:dyDescent="0.25">
      <c r="A19" s="1"/>
      <c r="B19" s="38"/>
      <c r="C19" s="38"/>
      <c r="D19" s="38"/>
      <c r="E19" s="38"/>
    </row>
    <row r="20" spans="1:11" x14ac:dyDescent="0.25">
      <c r="A20" s="137" t="s">
        <v>107</v>
      </c>
      <c r="B20" s="38"/>
      <c r="C20" s="38"/>
      <c r="D20" s="38"/>
      <c r="E20" s="44"/>
      <c r="G20" s="137" t="s">
        <v>106</v>
      </c>
    </row>
    <row r="21" spans="1:11" x14ac:dyDescent="0.25">
      <c r="A21" s="54" t="s">
        <v>56</v>
      </c>
      <c r="B21" s="38"/>
      <c r="C21" s="38"/>
      <c r="D21" s="38"/>
      <c r="E21" s="44"/>
      <c r="G21" s="57" t="s">
        <v>109</v>
      </c>
    </row>
    <row r="22" spans="1:11" ht="18.75" x14ac:dyDescent="0.35">
      <c r="A22" s="137"/>
      <c r="B22" s="38"/>
      <c r="C22" s="38"/>
      <c r="D22" s="38"/>
      <c r="E22" s="44"/>
      <c r="G22" s="153" t="s">
        <v>122</v>
      </c>
      <c r="H22" s="91">
        <f>(B8-$H$7)/$H$8</f>
        <v>0.16666666666666671</v>
      </c>
      <c r="I22" s="91">
        <f t="shared" ref="I22:K22" si="1">(C8-$H$7)/$H$8</f>
        <v>0.16666666666666671</v>
      </c>
      <c r="J22" s="91">
        <f t="shared" si="1"/>
        <v>0.16666666666666671</v>
      </c>
      <c r="K22" s="91">
        <f t="shared" si="1"/>
        <v>0.16666666666666671</v>
      </c>
    </row>
    <row r="23" spans="1:11" x14ac:dyDescent="0.25">
      <c r="A23" s="137"/>
      <c r="B23" s="38"/>
      <c r="C23" s="38"/>
      <c r="D23" s="38"/>
      <c r="E23" s="44"/>
      <c r="G23" s="73"/>
      <c r="H23" s="12"/>
      <c r="I23" s="12"/>
      <c r="J23" s="12"/>
      <c r="K23" s="10"/>
    </row>
    <row r="24" spans="1:11" ht="17.25" x14ac:dyDescent="0.3">
      <c r="A24" s="137"/>
      <c r="B24" s="38"/>
      <c r="C24" s="38"/>
      <c r="D24" s="38"/>
      <c r="E24" s="44"/>
      <c r="G24" s="138" t="s">
        <v>110</v>
      </c>
      <c r="H24" s="150">
        <f ca="1">$H$9*(1+H28*(1-$H$5))-H22*(1-$H$5)*H28</f>
        <v>1.5100856071651079</v>
      </c>
      <c r="I24" s="150">
        <f ca="1">$H$9*(1+I28*(1-$H$5))-I22*(1-$H$5)*I28</f>
        <v>1.4763639342388659</v>
      </c>
      <c r="J24" s="150">
        <f ca="1">$H$9*(1+J28*(1-$H$5))-J22*(1-$H$5)*J28</f>
        <v>1.4511682052919515</v>
      </c>
      <c r="K24" s="150">
        <f ca="1">$H$9*(1+K28*(1-$H$5))-K22*(1-$H$5)*K28</f>
        <v>1.4511672935051265</v>
      </c>
    </row>
    <row r="25" spans="1:11" x14ac:dyDescent="0.25">
      <c r="A25" s="57" t="s">
        <v>59</v>
      </c>
      <c r="E25" s="2"/>
      <c r="G25" s="57" t="s">
        <v>59</v>
      </c>
    </row>
    <row r="26" spans="1:11" x14ac:dyDescent="0.25">
      <c r="A26" s="71" t="s">
        <v>58</v>
      </c>
      <c r="B26" s="100">
        <f ca="1">B36</f>
        <v>0.43346861654439767</v>
      </c>
      <c r="C26" s="19">
        <f ca="1">C36</f>
        <v>0.41675548923470473</v>
      </c>
      <c r="D26" s="19">
        <f ca="1">D36</f>
        <v>0.40360873694207022</v>
      </c>
      <c r="E26" s="19">
        <f ca="1">E36</f>
        <v>0.40360873694207017</v>
      </c>
      <c r="G26" s="71" t="s">
        <v>58</v>
      </c>
      <c r="H26" s="100">
        <f ca="1">H36</f>
        <v>0.43346828586313046</v>
      </c>
      <c r="I26" s="19">
        <f ca="1">I36</f>
        <v>0.4167557627348491</v>
      </c>
      <c r="J26" s="19">
        <f ca="1">J36</f>
        <v>0.40360850500175299</v>
      </c>
      <c r="K26" s="19">
        <f ca="1">K36</f>
        <v>0.40360894830650773</v>
      </c>
    </row>
    <row r="27" spans="1:11" x14ac:dyDescent="0.25">
      <c r="A27" s="73" t="s">
        <v>10</v>
      </c>
      <c r="B27" s="101">
        <f ca="1">(1-B26)</f>
        <v>0.56653138345560228</v>
      </c>
      <c r="C27" s="20">
        <f ca="1">(1-C26)</f>
        <v>0.58324451076529527</v>
      </c>
      <c r="D27" s="20">
        <f ca="1">(1-D26)</f>
        <v>0.59639126305792978</v>
      </c>
      <c r="E27" s="20">
        <f ca="1">(1-E26)</f>
        <v>0.59639126305792978</v>
      </c>
      <c r="G27" s="73" t="s">
        <v>10</v>
      </c>
      <c r="H27" s="101">
        <f ca="1">(1-H26)</f>
        <v>0.56653171413686954</v>
      </c>
      <c r="I27" s="20">
        <f ca="1">(1-I26)</f>
        <v>0.58324423726515096</v>
      </c>
      <c r="J27" s="20">
        <f ca="1">(1-J26)</f>
        <v>0.59639149499824695</v>
      </c>
      <c r="K27" s="20">
        <f ca="1">(1-K26)</f>
        <v>0.59639105169349227</v>
      </c>
    </row>
    <row r="28" spans="1:11" x14ac:dyDescent="0.25">
      <c r="A28" s="73" t="s">
        <v>13</v>
      </c>
      <c r="B28" s="102">
        <f ca="1">B26/B27</f>
        <v>0.76512728015246412</v>
      </c>
      <c r="C28" s="18">
        <f ca="1">C26/C27</f>
        <v>0.71454678362573099</v>
      </c>
      <c r="D28" s="18">
        <f ca="1">D26/D27</f>
        <v>0.6767515923566878</v>
      </c>
      <c r="E28" s="18">
        <f ca="1">E26/E27</f>
        <v>0.67675159235668769</v>
      </c>
      <c r="G28" s="73" t="s">
        <v>13</v>
      </c>
      <c r="H28" s="102">
        <f ca="1">H26/H27</f>
        <v>0.76512624985793465</v>
      </c>
      <c r="I28" s="18">
        <f ca="1">I26/I27</f>
        <v>0.71454758762646142</v>
      </c>
      <c r="J28" s="18">
        <f ca="1">J26/J27</f>
        <v>0.67675094025768989</v>
      </c>
      <c r="K28" s="18">
        <f ca="1">K26/K27</f>
        <v>0.67675218660714831</v>
      </c>
    </row>
    <row r="29" spans="1:11" ht="18.75" x14ac:dyDescent="0.35">
      <c r="A29" s="71" t="s">
        <v>60</v>
      </c>
      <c r="B29" s="72">
        <f>B8*(1-B9)</f>
        <v>4.0000000000000008E-2</v>
      </c>
      <c r="C29" s="72">
        <f>C8*(1-C9)</f>
        <v>4.0000000000000008E-2</v>
      </c>
      <c r="D29" s="72">
        <f>D8*(1-D9)</f>
        <v>4.0000000000000008E-2</v>
      </c>
      <c r="E29" s="72">
        <f>E8*(1-E9)</f>
        <v>4.0000000000000008E-2</v>
      </c>
      <c r="G29" s="71" t="s">
        <v>60</v>
      </c>
      <c r="H29" s="72">
        <f>B8*(1-B9)</f>
        <v>4.0000000000000008E-2</v>
      </c>
      <c r="I29" s="72">
        <f t="shared" ref="I29:K29" si="2">C8*(1-C9)</f>
        <v>4.0000000000000008E-2</v>
      </c>
      <c r="J29" s="72">
        <f t="shared" si="2"/>
        <v>4.0000000000000008E-2</v>
      </c>
      <c r="K29" s="72">
        <f t="shared" si="2"/>
        <v>4.0000000000000008E-2</v>
      </c>
    </row>
    <row r="30" spans="1:11" ht="17.25" x14ac:dyDescent="0.3">
      <c r="A30" s="138" t="s">
        <v>101</v>
      </c>
      <c r="B30" s="139">
        <f ca="1">$H$10+($H$10-B8)*B28*(1-B9)</f>
        <v>0.21121018241219713</v>
      </c>
      <c r="C30" s="139">
        <f ca="1">$H$10+($H$10-C8)*C28*(1-C9)</f>
        <v>0.20716374269005847</v>
      </c>
      <c r="D30" s="139">
        <f ca="1">$H$10+($H$10-D8)*D28*(1-D9)</f>
        <v>0.20414012738853501</v>
      </c>
      <c r="E30" s="139">
        <f ca="1">$H$10+($H$10-E8)*E28*(1-E9)</f>
        <v>0.20414012738853501</v>
      </c>
      <c r="G30" s="138" t="s">
        <v>108</v>
      </c>
      <c r="H30" s="139">
        <f ca="1">$H$7+$H$8*H24</f>
        <v>0.21121027285981295</v>
      </c>
      <c r="I30" s="139">
        <f t="shared" ref="I30:K30" ca="1" si="3">$H$7+$H$8*I24</f>
        <v>0.2071636721086639</v>
      </c>
      <c r="J30" s="139">
        <f t="shared" ca="1" si="3"/>
        <v>0.20414018463503417</v>
      </c>
      <c r="K30" s="139">
        <f t="shared" ca="1" si="3"/>
        <v>0.20414007522061517</v>
      </c>
    </row>
    <row r="31" spans="1:11" x14ac:dyDescent="0.25">
      <c r="A31" s="77" t="s">
        <v>63</v>
      </c>
      <c r="B31" s="104">
        <f ca="1">B29*B26+B30*B27</f>
        <v>0.13699594150366806</v>
      </c>
      <c r="C31" s="104">
        <f t="shared" ref="C31:E31" ca="1" si="4">C29*C26+C30*C27</f>
        <v>0.13749733532295885</v>
      </c>
      <c r="D31" s="104">
        <f t="shared" ca="1" si="4"/>
        <v>0.13789173789173789</v>
      </c>
      <c r="E31" s="104">
        <f t="shared" ca="1" si="4"/>
        <v>0.13789173789173789</v>
      </c>
      <c r="G31" s="77" t="s">
        <v>63</v>
      </c>
      <c r="H31" s="104">
        <f ca="1">H29*H26+H30*H27</f>
        <v>0.13699604936111098</v>
      </c>
      <c r="I31" s="104">
        <f t="shared" ref="I31:K31" ca="1" si="5">I29*I26+I30*I27</f>
        <v>0.13749724843745947</v>
      </c>
      <c r="J31" s="104">
        <f t="shared" ca="1" si="5"/>
        <v>0.13789181010377632</v>
      </c>
      <c r="K31" s="104">
        <f t="shared" ca="1" si="5"/>
        <v>0.13789167208587161</v>
      </c>
    </row>
    <row r="32" spans="1:11" x14ac:dyDescent="0.25">
      <c r="A32" s="17" t="s">
        <v>14</v>
      </c>
      <c r="B32" s="24">
        <f>B$15</f>
        <v>38</v>
      </c>
      <c r="C32" s="24">
        <f>C$15</f>
        <v>42.800000000000004</v>
      </c>
      <c r="D32" s="24">
        <f>D$15</f>
        <v>58.080000000000013</v>
      </c>
      <c r="E32" s="24">
        <f>E15</f>
        <v>58.080000000000013</v>
      </c>
      <c r="G32" s="17" t="s">
        <v>14</v>
      </c>
      <c r="H32" s="24">
        <f>B$15</f>
        <v>38</v>
      </c>
      <c r="I32" s="24">
        <f t="shared" ref="I32:K32" si="6">C$15</f>
        <v>42.800000000000004</v>
      </c>
      <c r="J32" s="24">
        <f t="shared" si="6"/>
        <v>58.080000000000013</v>
      </c>
      <c r="K32" s="24">
        <f t="shared" si="6"/>
        <v>58.080000000000013</v>
      </c>
    </row>
    <row r="33" spans="1:11" x14ac:dyDescent="0.25">
      <c r="A33" s="15" t="s">
        <v>5</v>
      </c>
      <c r="B33" s="16">
        <f ca="1">(C33+B32)/(1+B31)</f>
        <v>392.18525519848771</v>
      </c>
      <c r="C33" s="16">
        <f ca="1">(D33+C32)/(1+C31)</f>
        <v>407.91304347826087</v>
      </c>
      <c r="D33" s="16">
        <f ca="1">(E33+D32)/(1+D31)</f>
        <v>421.20000000000005</v>
      </c>
      <c r="E33" s="16">
        <f ca="1">E32/(E31-H11)</f>
        <v>421.2000000000001</v>
      </c>
      <c r="G33" s="15" t="s">
        <v>5</v>
      </c>
      <c r="H33" s="16">
        <f ca="1">(I33+H32)/(1+H31)</f>
        <v>392.1849825527558</v>
      </c>
      <c r="I33" s="16">
        <f ca="1">(J33+I32)/(1+I31)</f>
        <v>407.91328742723772</v>
      </c>
      <c r="J33" s="16">
        <f ca="1">(K33+J32)/(1+J31)</f>
        <v>421.19977942337147</v>
      </c>
      <c r="K33" s="16">
        <f ca="1">K32/(K31-H11)</f>
        <v>421.20020100873728</v>
      </c>
    </row>
    <row r="34" spans="1:11" x14ac:dyDescent="0.25">
      <c r="A34" s="17" t="s">
        <v>38</v>
      </c>
      <c r="B34" s="108">
        <f>B5</f>
        <v>170</v>
      </c>
      <c r="C34" s="108">
        <f>C5</f>
        <v>170</v>
      </c>
      <c r="D34" s="108">
        <f>D5</f>
        <v>170</v>
      </c>
      <c r="E34" s="108">
        <f>E5</f>
        <v>170</v>
      </c>
      <c r="G34" s="17" t="s">
        <v>38</v>
      </c>
      <c r="H34" s="108">
        <f>B5</f>
        <v>170</v>
      </c>
      <c r="I34" s="108">
        <f t="shared" ref="I34:K34" si="7">C5</f>
        <v>170</v>
      </c>
      <c r="J34" s="108">
        <f t="shared" si="7"/>
        <v>170</v>
      </c>
      <c r="K34" s="108">
        <f t="shared" si="7"/>
        <v>170</v>
      </c>
    </row>
    <row r="35" spans="1:11" x14ac:dyDescent="0.25">
      <c r="A35" s="80" t="s">
        <v>49</v>
      </c>
      <c r="B35" s="81">
        <f ca="1">B33-B34</f>
        <v>222.18525519848771</v>
      </c>
      <c r="C35" s="37">
        <f t="shared" ref="C35:E35" ca="1" si="8">C33-C34</f>
        <v>237.91304347826087</v>
      </c>
      <c r="D35" s="37">
        <f t="shared" ca="1" si="8"/>
        <v>251.20000000000005</v>
      </c>
      <c r="E35" s="37">
        <f t="shared" ca="1" si="8"/>
        <v>251.2000000000001</v>
      </c>
      <c r="G35" s="80" t="s">
        <v>49</v>
      </c>
      <c r="H35" s="81">
        <f ca="1">H33-H34</f>
        <v>222.1849825527558</v>
      </c>
      <c r="I35" s="37">
        <f t="shared" ref="I35:K35" ca="1" si="9">I33-I34</f>
        <v>237.91328742723772</v>
      </c>
      <c r="J35" s="37">
        <f t="shared" ca="1" si="9"/>
        <v>251.19977942337147</v>
      </c>
      <c r="K35" s="37">
        <f t="shared" ca="1" si="9"/>
        <v>251.20020100873728</v>
      </c>
    </row>
    <row r="36" spans="1:11" ht="18.75" x14ac:dyDescent="0.35">
      <c r="A36" s="13" t="s">
        <v>46</v>
      </c>
      <c r="B36" s="32">
        <f ca="1">B34/B33</f>
        <v>0.43346861654439767</v>
      </c>
      <c r="C36" s="32">
        <f t="shared" ref="C36:E36" ca="1" si="10">C34/C33</f>
        <v>0.41675548923470473</v>
      </c>
      <c r="D36" s="32">
        <f t="shared" ca="1" si="10"/>
        <v>0.40360873694207022</v>
      </c>
      <c r="E36" s="32">
        <f t="shared" ca="1" si="10"/>
        <v>0.40360873694207017</v>
      </c>
      <c r="G36" s="13" t="s">
        <v>46</v>
      </c>
      <c r="H36" s="32">
        <f ca="1">H34/H33</f>
        <v>0.43346891789037845</v>
      </c>
      <c r="I36" s="32">
        <f t="shared" ref="I36:K36" ca="1" si="11">I34/I33</f>
        <v>0.4167552399977264</v>
      </c>
      <c r="J36" s="32">
        <f t="shared" ca="1" si="11"/>
        <v>0.40360894830650773</v>
      </c>
      <c r="K36" s="32">
        <f t="shared" ca="1" si="11"/>
        <v>0.40360854432848087</v>
      </c>
    </row>
    <row r="38" spans="1:11" x14ac:dyDescent="0.25">
      <c r="A38" s="57" t="s">
        <v>67</v>
      </c>
      <c r="G38" s="57" t="s">
        <v>67</v>
      </c>
    </row>
    <row r="39" spans="1:11" x14ac:dyDescent="0.25">
      <c r="A39" s="17" t="s">
        <v>6</v>
      </c>
      <c r="B39" s="24">
        <f>B18</f>
        <v>31.2</v>
      </c>
      <c r="C39" s="24">
        <f t="shared" ref="C39:E39" si="12">C18</f>
        <v>36</v>
      </c>
      <c r="D39" s="24">
        <f t="shared" si="12"/>
        <v>51.280000000000015</v>
      </c>
      <c r="E39" s="24">
        <f t="shared" si="12"/>
        <v>51.280000000000015</v>
      </c>
      <c r="G39" s="17" t="s">
        <v>6</v>
      </c>
      <c r="H39" s="24">
        <f>B18</f>
        <v>31.2</v>
      </c>
      <c r="I39" s="24">
        <f t="shared" ref="I39:K39" si="13">C18</f>
        <v>36</v>
      </c>
      <c r="J39" s="24">
        <f t="shared" si="13"/>
        <v>51.280000000000015</v>
      </c>
      <c r="K39" s="24">
        <f t="shared" si="13"/>
        <v>51.280000000000015</v>
      </c>
    </row>
    <row r="40" spans="1:11" ht="17.25" x14ac:dyDescent="0.3">
      <c r="A40" s="97" t="s">
        <v>62</v>
      </c>
      <c r="B40" s="103">
        <f ca="1">B30</f>
        <v>0.21121018241219713</v>
      </c>
      <c r="C40" s="103">
        <f ca="1">C30</f>
        <v>0.20716374269005847</v>
      </c>
      <c r="D40" s="103">
        <f ca="1">D30</f>
        <v>0.20414012738853501</v>
      </c>
      <c r="E40" s="103">
        <f ca="1">E30</f>
        <v>0.20414012738853501</v>
      </c>
      <c r="G40" s="97" t="s">
        <v>111</v>
      </c>
      <c r="H40" s="103">
        <f ca="1">$H$7+$H$8*H24</f>
        <v>0.21121027285981295</v>
      </c>
      <c r="I40" s="103">
        <f t="shared" ref="I40:K40" ca="1" si="14">$H$7+$H$8*I24</f>
        <v>0.2071636721086639</v>
      </c>
      <c r="J40" s="103">
        <f t="shared" ca="1" si="14"/>
        <v>0.20414018463503417</v>
      </c>
      <c r="K40" s="103">
        <f t="shared" ca="1" si="14"/>
        <v>0.20414007522061517</v>
      </c>
    </row>
    <row r="41" spans="1:11" x14ac:dyDescent="0.25">
      <c r="A41" s="83" t="s">
        <v>49</v>
      </c>
      <c r="B41" s="106">
        <f ca="1">(C41+B39)/(1+B40)</f>
        <v>222.18525519848774</v>
      </c>
      <c r="C41" s="107">
        <f ca="1">(D41+C39)/(1+C40)</f>
        <v>237.91304347826093</v>
      </c>
      <c r="D41" s="107">
        <f ca="1">(E41+D39)/(1+D40)</f>
        <v>251.2000000000001</v>
      </c>
      <c r="E41" s="107">
        <f ca="1">E39/(E40-H11)</f>
        <v>251.2000000000001</v>
      </c>
      <c r="G41" s="83" t="s">
        <v>49</v>
      </c>
      <c r="H41" s="106">
        <f t="shared" ref="H41:I41" ca="1" si="15">(I41+H39)/(1+H40)</f>
        <v>222.18516798841912</v>
      </c>
      <c r="I41" s="107">
        <f t="shared" ca="1" si="15"/>
        <v>237.9131214238389</v>
      </c>
      <c r="J41" s="107">
        <f ca="1">(K41+J39)/(1+J40)</f>
        <v>251.19992955663977</v>
      </c>
      <c r="K41" s="107">
        <f ca="1">K39/(K40-H11)</f>
        <v>251.2000641940661</v>
      </c>
    </row>
    <row r="42" spans="1:11" x14ac:dyDescent="0.25">
      <c r="A42" s="7"/>
      <c r="G42" s="7"/>
    </row>
    <row r="43" spans="1:11" x14ac:dyDescent="0.25">
      <c r="A43" s="57" t="s">
        <v>64</v>
      </c>
      <c r="B43" s="3"/>
      <c r="C43" s="3"/>
      <c r="D43" s="3"/>
      <c r="G43" s="166" t="s">
        <v>123</v>
      </c>
      <c r="H43" s="166"/>
      <c r="I43" s="166"/>
      <c r="J43" s="166"/>
      <c r="K43" s="166"/>
    </row>
    <row r="44" spans="1:11" ht="18.75" x14ac:dyDescent="0.35">
      <c r="A44" s="75" t="s">
        <v>53</v>
      </c>
      <c r="B44" s="76">
        <f>$H$10</f>
        <v>0.15</v>
      </c>
      <c r="C44" s="76">
        <f>$H$10</f>
        <v>0.15</v>
      </c>
      <c r="D44" s="76">
        <f>$H$10</f>
        <v>0.15</v>
      </c>
      <c r="E44" s="76">
        <f>$H$10</f>
        <v>0.15</v>
      </c>
      <c r="G44" s="166" t="s">
        <v>124</v>
      </c>
      <c r="H44" s="166"/>
      <c r="I44" s="166"/>
      <c r="J44" s="166"/>
      <c r="K44" s="166"/>
    </row>
    <row r="45" spans="1:11" x14ac:dyDescent="0.25">
      <c r="A45" s="12" t="s">
        <v>14</v>
      </c>
      <c r="B45" s="21">
        <f>B15</f>
        <v>38</v>
      </c>
      <c r="C45" s="21">
        <f t="shared" ref="C45:E45" si="16">C15</f>
        <v>42.800000000000004</v>
      </c>
      <c r="D45" s="21">
        <f t="shared" si="16"/>
        <v>58.080000000000013</v>
      </c>
      <c r="E45" s="21">
        <f t="shared" si="16"/>
        <v>58.080000000000013</v>
      </c>
    </row>
    <row r="46" spans="1:11" x14ac:dyDescent="0.25">
      <c r="A46" s="86" t="s">
        <v>51</v>
      </c>
      <c r="B46" s="21">
        <f>(C46+B45)/(1+B44)</f>
        <v>358.18525519848782</v>
      </c>
      <c r="C46" s="21">
        <f>(D46+C45)/(1+C44)</f>
        <v>373.91304347826099</v>
      </c>
      <c r="D46" s="21">
        <f>(E46+D45)/(1+D44)</f>
        <v>387.2000000000001</v>
      </c>
      <c r="E46" s="10">
        <f>E45/(E44-$H$11)</f>
        <v>387.2000000000001</v>
      </c>
    </row>
    <row r="47" spans="1:11" ht="18.75" x14ac:dyDescent="0.35">
      <c r="A47" s="82" t="s">
        <v>52</v>
      </c>
      <c r="B47" s="29">
        <f>B8</f>
        <v>0.05</v>
      </c>
      <c r="C47" s="29">
        <f>C8</f>
        <v>0.05</v>
      </c>
      <c r="D47" s="29">
        <f>D8</f>
        <v>0.05</v>
      </c>
      <c r="E47" s="29">
        <f>E8</f>
        <v>0.05</v>
      </c>
    </row>
    <row r="48" spans="1:11" x14ac:dyDescent="0.25">
      <c r="A48" s="82" t="s">
        <v>50</v>
      </c>
      <c r="B48" s="21">
        <f>B8*B5*B9</f>
        <v>1.7000000000000002</v>
      </c>
      <c r="C48" s="21">
        <f>C8*C5*C9</f>
        <v>1.7000000000000002</v>
      </c>
      <c r="D48" s="21">
        <f>D8*D5*D9</f>
        <v>1.7000000000000002</v>
      </c>
      <c r="E48" s="21">
        <f>E8*E5*E9</f>
        <v>1.7000000000000002</v>
      </c>
    </row>
    <row r="49" spans="1:5" x14ac:dyDescent="0.25">
      <c r="A49" s="13" t="s">
        <v>137</v>
      </c>
      <c r="B49" s="34">
        <f>(C49+B48)/(1+B47)</f>
        <v>34</v>
      </c>
      <c r="C49" s="14">
        <f>(D49+C48)/(1+C47)</f>
        <v>34</v>
      </c>
      <c r="D49" s="14">
        <f>(E49+D48)/(1+D47)</f>
        <v>34</v>
      </c>
      <c r="E49" s="14">
        <f>E48/(E47-$H$11)</f>
        <v>34</v>
      </c>
    </row>
    <row r="50" spans="1:5" x14ac:dyDescent="0.25">
      <c r="A50" s="35" t="s">
        <v>9</v>
      </c>
      <c r="B50" s="36">
        <f>B46+B49</f>
        <v>392.18525519848782</v>
      </c>
      <c r="C50" s="36">
        <f>C46+C49</f>
        <v>407.91304347826099</v>
      </c>
      <c r="D50" s="36">
        <f>D46+D49</f>
        <v>421.2000000000001</v>
      </c>
      <c r="E50" s="36">
        <f>E46+E49</f>
        <v>421.2000000000001</v>
      </c>
    </row>
    <row r="51" spans="1:5" x14ac:dyDescent="0.25">
      <c r="A51" s="40" t="s">
        <v>2</v>
      </c>
      <c r="B51" s="41">
        <f>B5</f>
        <v>170</v>
      </c>
      <c r="C51" s="41">
        <f>C5</f>
        <v>170</v>
      </c>
      <c r="D51" s="41">
        <f>D5</f>
        <v>170</v>
      </c>
      <c r="E51" s="41">
        <f>E5</f>
        <v>170</v>
      </c>
    </row>
    <row r="52" spans="1:5" x14ac:dyDescent="0.25">
      <c r="A52" s="83" t="s">
        <v>49</v>
      </c>
      <c r="B52" s="105">
        <f>B50-B51</f>
        <v>222.18525519848782</v>
      </c>
      <c r="C52" s="85">
        <f t="shared" ref="C52:E52" si="17">C50-C51</f>
        <v>237.91304347826099</v>
      </c>
      <c r="D52" s="85">
        <f t="shared" si="17"/>
        <v>251.2000000000001</v>
      </c>
      <c r="E52" s="85">
        <f t="shared" si="17"/>
        <v>251.2000000000001</v>
      </c>
    </row>
    <row r="53" spans="1:5" x14ac:dyDescent="0.25">
      <c r="B53" s="8"/>
      <c r="C53" s="1"/>
      <c r="D53" s="1"/>
      <c r="E53" s="8"/>
    </row>
    <row r="57" spans="1:5" x14ac:dyDescent="0.25">
      <c r="A57" s="7"/>
    </row>
    <row r="58" spans="1:5" x14ac:dyDescent="0.25">
      <c r="A58" s="7"/>
    </row>
    <row r="59" spans="1:5" x14ac:dyDescent="0.25">
      <c r="A59" s="7"/>
    </row>
    <row r="60" spans="1:5" x14ac:dyDescent="0.25">
      <c r="A60" s="7"/>
    </row>
    <row r="61" spans="1:5" x14ac:dyDescent="0.25">
      <c r="A61" s="7"/>
    </row>
    <row r="62" spans="1:5" x14ac:dyDescent="0.25">
      <c r="A62" s="7"/>
    </row>
    <row r="63" spans="1:5" x14ac:dyDescent="0.25">
      <c r="A63" s="7"/>
    </row>
    <row r="64" spans="1:5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hyperlinks>
    <hyperlink ref="I1" location="Úvod!A31" display="Skok na obsah" xr:uid="{5FAD4C4A-A6E1-4B02-850B-1FA95196B80C}"/>
  </hyperlinks>
  <printOptions gridLinesSet="0"/>
  <pageMargins left="0.78740157480314965" right="0.78740157480314965" top="0.98425196850393704" bottom="0.78740157480314965" header="0.51181102362204722" footer="0.51181102362204722"/>
  <pageSetup paperSize="9" scale="48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rowBreaks count="1" manualBreakCount="1">
    <brk id="49" max="65535" man="1"/>
  </rowBreaks>
  <drawing r:id="rId2"/>
  <legacyDrawing r:id="rId3"/>
  <oleObjects>
    <mc:AlternateContent xmlns:mc="http://schemas.openxmlformats.org/markup-compatibility/2006">
      <mc:Choice Requires="x14">
        <oleObject progId="Equation.3" shapeId="84994" r:id="rId4">
          <objectPr defaultSize="0" autoPict="0" r:id="rId5">
            <anchor moveWithCells="1" sizeWithCells="1">
              <from>
                <xdr:col>11</xdr:col>
                <xdr:colOff>142875</xdr:colOff>
                <xdr:row>20</xdr:row>
                <xdr:rowOff>190500</xdr:rowOff>
              </from>
              <to>
                <xdr:col>15</xdr:col>
                <xdr:colOff>409575</xdr:colOff>
                <xdr:row>22</xdr:row>
                <xdr:rowOff>180975</xdr:rowOff>
              </to>
            </anchor>
          </objectPr>
        </oleObject>
      </mc:Choice>
      <mc:Fallback>
        <oleObject progId="Equation.3" shapeId="84994" r:id="rId4"/>
      </mc:Fallback>
    </mc:AlternateContent>
    <mc:AlternateContent xmlns:mc="http://schemas.openxmlformats.org/markup-compatibility/2006">
      <mc:Choice Requires="x14">
        <oleObject progId="Equation.3" shapeId="84995" r:id="rId6">
          <objectPr defaultSize="0" autoPict="0" r:id="rId7">
            <anchor moveWithCells="1" sizeWithCells="1">
              <from>
                <xdr:col>11</xdr:col>
                <xdr:colOff>152400</xdr:colOff>
                <xdr:row>23</xdr:row>
                <xdr:rowOff>66675</xdr:rowOff>
              </from>
              <to>
                <xdr:col>14</xdr:col>
                <xdr:colOff>476250</xdr:colOff>
                <xdr:row>25</xdr:row>
                <xdr:rowOff>85725</xdr:rowOff>
              </to>
            </anchor>
          </objectPr>
        </oleObject>
      </mc:Choice>
      <mc:Fallback>
        <oleObject progId="Equation.3" shapeId="84995" r:id="rId6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2144-2DB1-4A9C-945C-FF82C5741938}">
  <sheetPr>
    <pageSetUpPr fitToPage="1"/>
  </sheetPr>
  <dimension ref="A1:K72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22.625" customWidth="1"/>
  </cols>
  <sheetData>
    <row r="1" spans="1:11" ht="18.75" x14ac:dyDescent="0.3">
      <c r="A1" s="53" t="s">
        <v>126</v>
      </c>
      <c r="B1" s="54" t="s">
        <v>127</v>
      </c>
      <c r="I1" s="172" t="s">
        <v>164</v>
      </c>
    </row>
    <row r="2" spans="1:11" x14ac:dyDescent="0.25">
      <c r="B2" s="54"/>
    </row>
    <row r="3" spans="1:11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G3" s="55" t="s">
        <v>0</v>
      </c>
      <c r="H3" s="56">
        <f>'1-MM, cílová struktura'!$B$3</f>
        <v>2023</v>
      </c>
      <c r="I3" s="56">
        <f>H3+1</f>
        <v>2024</v>
      </c>
      <c r="J3" s="56">
        <f>I3+1</f>
        <v>2025</v>
      </c>
      <c r="K3" s="56" t="s">
        <v>1</v>
      </c>
    </row>
    <row r="4" spans="1:11" ht="17.25" customHeight="1" x14ac:dyDescent="0.25">
      <c r="A4" s="57" t="s">
        <v>100</v>
      </c>
      <c r="G4" s="1" t="s">
        <v>37</v>
      </c>
    </row>
    <row r="5" spans="1:11" x14ac:dyDescent="0.25">
      <c r="A5" s="154" t="s">
        <v>38</v>
      </c>
      <c r="B5" s="155">
        <f>'3 -MM, růst, iterace'!B5</f>
        <v>170</v>
      </c>
      <c r="C5" s="155">
        <f>'3 -MM, růst, iterace'!C5</f>
        <v>180</v>
      </c>
      <c r="D5" s="155">
        <f>'3 -MM, růst, iterace'!D5</f>
        <v>190</v>
      </c>
      <c r="E5" s="155">
        <f>'3 -MM, růst, iterace'!E5</f>
        <v>210</v>
      </c>
      <c r="G5" s="65" t="s">
        <v>7</v>
      </c>
      <c r="H5" s="165" t="s">
        <v>138</v>
      </c>
    </row>
    <row r="6" spans="1:11" ht="18.75" x14ac:dyDescent="0.35">
      <c r="A6" s="12" t="s">
        <v>39</v>
      </c>
      <c r="B6" s="92">
        <f>'1-MM, cílová struktura'!B6</f>
        <v>180</v>
      </c>
      <c r="C6" s="21">
        <f>'1-MM, cílová struktura'!C6</f>
        <v>190</v>
      </c>
      <c r="D6" s="21">
        <f>'1-MM, cílová struktura'!D6</f>
        <v>200</v>
      </c>
      <c r="E6" s="21">
        <f>'1-MM, cílová struktura'!E6</f>
        <v>200</v>
      </c>
      <c r="G6" s="65" t="s">
        <v>34</v>
      </c>
      <c r="H6" s="165" t="s">
        <v>138</v>
      </c>
      <c r="K6" s="140"/>
    </row>
    <row r="7" spans="1:11" ht="18.75" x14ac:dyDescent="0.35">
      <c r="A7" s="30" t="s">
        <v>40</v>
      </c>
      <c r="B7" s="26">
        <f>B5+B6</f>
        <v>350</v>
      </c>
      <c r="C7" s="31">
        <f>C5+C6</f>
        <v>370</v>
      </c>
      <c r="D7" s="31">
        <f>D5+D6</f>
        <v>390</v>
      </c>
      <c r="E7" s="31">
        <f>E5+E6</f>
        <v>410</v>
      </c>
      <c r="G7" s="60" t="s">
        <v>103</v>
      </c>
      <c r="H7" s="96">
        <f>'10a-Beta - stabilní CK'!H7</f>
        <v>0.03</v>
      </c>
      <c r="J7" s="141"/>
      <c r="K7" s="142"/>
    </row>
    <row r="8" spans="1:11" ht="18.75" x14ac:dyDescent="0.35">
      <c r="A8" s="156" t="s">
        <v>42</v>
      </c>
      <c r="B8" s="157">
        <f>'3 -MM, růst, iterace'!B8</f>
        <v>0.03</v>
      </c>
      <c r="C8" s="157">
        <f>'3 -MM, růst, iterace'!C8</f>
        <v>0.05</v>
      </c>
      <c r="D8" s="157">
        <f>'3 -MM, růst, iterace'!D8</f>
        <v>0.06</v>
      </c>
      <c r="E8" s="157">
        <f>'3 -MM, růst, iterace'!E8</f>
        <v>7.0000000000000007E-2</v>
      </c>
      <c r="G8" s="60" t="s">
        <v>102</v>
      </c>
      <c r="H8" s="96">
        <f>'10a-Beta - stabilní CK'!H8</f>
        <v>0.12</v>
      </c>
      <c r="J8" s="144"/>
      <c r="K8" s="143"/>
    </row>
    <row r="9" spans="1:11" ht="18.75" x14ac:dyDescent="0.35">
      <c r="A9" s="158" t="s">
        <v>57</v>
      </c>
      <c r="B9" s="159">
        <f>'3 -MM, růst, iterace'!B9</f>
        <v>0.2</v>
      </c>
      <c r="C9" s="159">
        <f>'3 -MM, růst, iterace'!C9</f>
        <v>0.19</v>
      </c>
      <c r="D9" s="159">
        <f>'3 -MM, růst, iterace'!D9</f>
        <v>0.19</v>
      </c>
      <c r="E9" s="159">
        <f>'3 -MM, růst, iterace'!E9</f>
        <v>0.18</v>
      </c>
      <c r="G9" s="60" t="s">
        <v>104</v>
      </c>
      <c r="H9" s="146">
        <f>'10a-Beta - stabilní CK'!H9</f>
        <v>1</v>
      </c>
      <c r="J9" s="142"/>
      <c r="K9" s="141"/>
    </row>
    <row r="10" spans="1:11" ht="18.75" x14ac:dyDescent="0.35">
      <c r="A10" s="9" t="s">
        <v>15</v>
      </c>
      <c r="B10" s="90">
        <f>'3 -MM, růst, iterace'!B10</f>
        <v>60</v>
      </c>
      <c r="C10" s="90">
        <f>'3 -MM, růst, iterace'!C10</f>
        <v>66</v>
      </c>
      <c r="D10" s="90">
        <f>'3 -MM, růst, iterace'!D10</f>
        <v>72.600000000000009</v>
      </c>
      <c r="E10" s="90">
        <f>'3 -MM, růst, iterace'!E10</f>
        <v>74.778000000000006</v>
      </c>
      <c r="G10" s="60" t="s">
        <v>105</v>
      </c>
      <c r="H10" s="96">
        <f>H7+H8*H9</f>
        <v>0.15</v>
      </c>
      <c r="I10" s="147"/>
    </row>
    <row r="11" spans="1:11" x14ac:dyDescent="0.25">
      <c r="A11" s="1"/>
      <c r="B11" s="38"/>
      <c r="C11" s="38"/>
      <c r="D11" s="38"/>
      <c r="E11" s="38"/>
      <c r="G11" s="65" t="s">
        <v>36</v>
      </c>
      <c r="H11" s="160">
        <f>'3 -MM, růst, iterace'!H7</f>
        <v>0.03</v>
      </c>
    </row>
    <row r="12" spans="1:11" x14ac:dyDescent="0.25">
      <c r="A12" s="57" t="s">
        <v>61</v>
      </c>
    </row>
    <row r="13" spans="1:11" x14ac:dyDescent="0.25">
      <c r="A13" s="17" t="s">
        <v>16</v>
      </c>
      <c r="B13" s="24">
        <f>B10*(1-B9)</f>
        <v>48</v>
      </c>
      <c r="C13" s="24">
        <f>C10*(1-C9)</f>
        <v>53.46</v>
      </c>
      <c r="D13" s="24">
        <f>D10*(1-D9)</f>
        <v>58.806000000000012</v>
      </c>
      <c r="E13" s="24">
        <f>E10*(1-E9)</f>
        <v>61.317960000000006</v>
      </c>
      <c r="H13" s="42"/>
    </row>
    <row r="14" spans="1:11" x14ac:dyDescent="0.25">
      <c r="A14" s="13" t="s">
        <v>41</v>
      </c>
      <c r="B14" s="14">
        <f>-(C7-B7)</f>
        <v>-20</v>
      </c>
      <c r="C14" s="14">
        <f>-(D7-C7)</f>
        <v>-20</v>
      </c>
      <c r="D14" s="14">
        <f>-(E7-D7)</f>
        <v>-20</v>
      </c>
      <c r="E14" s="14">
        <f>-E7*H11</f>
        <v>-12.299999999999999</v>
      </c>
    </row>
    <row r="15" spans="1:11" x14ac:dyDescent="0.25">
      <c r="A15" s="30" t="s">
        <v>14</v>
      </c>
      <c r="B15" s="31">
        <f>B13+B14</f>
        <v>28</v>
      </c>
      <c r="C15" s="31">
        <f>C13+C14</f>
        <v>33.46</v>
      </c>
      <c r="D15" s="31">
        <f>D13+D14</f>
        <v>38.806000000000012</v>
      </c>
      <c r="E15" s="31">
        <f>E13+E14</f>
        <v>49.017960000000009</v>
      </c>
    </row>
    <row r="16" spans="1:11" ht="18.75" x14ac:dyDescent="0.35">
      <c r="A16" s="82" t="s">
        <v>48</v>
      </c>
      <c r="B16" s="10">
        <f>-B8*B5*(1-B9)</f>
        <v>-4.08</v>
      </c>
      <c r="C16" s="10">
        <f>-C8*C5*(1-C9)</f>
        <v>-7.2900000000000009</v>
      </c>
      <c r="D16" s="10">
        <f>-D8*D5*(1-D9)</f>
        <v>-9.2340000000000018</v>
      </c>
      <c r="E16" s="10">
        <f>-E8*E5*(1-E9)</f>
        <v>-12.054000000000002</v>
      </c>
    </row>
    <row r="17" spans="1:11" x14ac:dyDescent="0.25">
      <c r="A17" s="25" t="s">
        <v>11</v>
      </c>
      <c r="B17" s="21">
        <f>C5-B5</f>
        <v>10</v>
      </c>
      <c r="C17" s="21">
        <f>D5-C5</f>
        <v>10</v>
      </c>
      <c r="D17" s="21">
        <f>E5-D5</f>
        <v>20</v>
      </c>
      <c r="E17" s="21">
        <f>E5*H11</f>
        <v>6.3</v>
      </c>
    </row>
    <row r="18" spans="1:11" x14ac:dyDescent="0.25">
      <c r="A18" s="9" t="s">
        <v>6</v>
      </c>
      <c r="B18" s="90">
        <f>SUM(B15:B17)</f>
        <v>33.92</v>
      </c>
      <c r="C18" s="90">
        <f t="shared" ref="C18:E18" si="0">SUM(C15:C17)</f>
        <v>36.17</v>
      </c>
      <c r="D18" s="90">
        <f t="shared" si="0"/>
        <v>49.57200000000001</v>
      </c>
      <c r="E18" s="90">
        <f t="shared" si="0"/>
        <v>43.263960000000004</v>
      </c>
    </row>
    <row r="19" spans="1:11" x14ac:dyDescent="0.25">
      <c r="A19" s="1"/>
      <c r="B19" s="38"/>
      <c r="C19" s="38"/>
      <c r="D19" s="38"/>
      <c r="E19" s="38"/>
    </row>
    <row r="20" spans="1:11" x14ac:dyDescent="0.25">
      <c r="A20" s="137" t="s">
        <v>142</v>
      </c>
      <c r="B20" s="38"/>
      <c r="C20" s="38"/>
      <c r="D20" s="38"/>
      <c r="E20" s="44"/>
      <c r="G20" s="137" t="s">
        <v>106</v>
      </c>
    </row>
    <row r="21" spans="1:11" x14ac:dyDescent="0.25">
      <c r="A21" s="54" t="s">
        <v>128</v>
      </c>
      <c r="B21" s="38"/>
      <c r="C21" s="38"/>
      <c r="D21" s="38"/>
      <c r="E21" s="44"/>
      <c r="G21" s="57" t="s">
        <v>109</v>
      </c>
    </row>
    <row r="22" spans="1:11" ht="18.75" x14ac:dyDescent="0.35">
      <c r="A22" s="137" t="s">
        <v>129</v>
      </c>
      <c r="B22" s="38"/>
      <c r="C22" s="38"/>
      <c r="D22" s="38"/>
      <c r="E22" s="44"/>
      <c r="G22" s="153" t="s">
        <v>122</v>
      </c>
      <c r="H22" s="91">
        <f>(B8-$H$7)/$H$8</f>
        <v>0</v>
      </c>
      <c r="I22" s="91">
        <f t="shared" ref="I22:K22" si="1">(C8-$H$7)/$H$8</f>
        <v>0.16666666666666671</v>
      </c>
      <c r="J22" s="91">
        <f t="shared" si="1"/>
        <v>0.25</v>
      </c>
      <c r="K22" s="91">
        <f t="shared" si="1"/>
        <v>0.33333333333333343</v>
      </c>
    </row>
    <row r="23" spans="1:11" x14ac:dyDescent="0.25">
      <c r="A23" s="137"/>
      <c r="B23" s="38"/>
      <c r="C23" s="38"/>
      <c r="D23" s="38"/>
      <c r="E23" s="44"/>
      <c r="G23" s="73"/>
      <c r="H23" s="12"/>
      <c r="I23" s="12"/>
      <c r="J23" s="12"/>
      <c r="K23" s="10"/>
    </row>
    <row r="24" spans="1:11" ht="17.25" x14ac:dyDescent="0.3">
      <c r="A24" s="137"/>
      <c r="B24" s="38"/>
      <c r="C24" s="38"/>
      <c r="D24" s="38"/>
      <c r="E24" s="44"/>
      <c r="G24" s="138" t="s">
        <v>110</v>
      </c>
      <c r="H24" s="150">
        <f t="shared" ref="H24:I24" ca="1" si="2">$H$9+($H$9-H22)*(B5-B49)/H35</f>
        <v>1.4571040835359756</v>
      </c>
      <c r="I24" s="150">
        <f t="shared" ca="1" si="2"/>
        <v>1.3894742449799682</v>
      </c>
      <c r="J24" s="150">
        <f ca="1">$H$9+($H$9-J22)*(D5-D49)/J35</f>
        <v>1.3574967078271585</v>
      </c>
      <c r="K24" s="150">
        <f ca="1">$H$9+($H$9-K22)*(E5-E49)/K35</f>
        <v>1.3623886665684173</v>
      </c>
    </row>
    <row r="25" spans="1:11" x14ac:dyDescent="0.25">
      <c r="A25" s="57" t="s">
        <v>59</v>
      </c>
      <c r="E25" s="2"/>
      <c r="G25" s="57" t="s">
        <v>59</v>
      </c>
    </row>
    <row r="26" spans="1:11" x14ac:dyDescent="0.25">
      <c r="A26" s="71" t="s">
        <v>58</v>
      </c>
      <c r="B26" s="19">
        <f t="shared" ref="B26:D26" ca="1" si="3">B36</f>
        <v>0.41881010681730607</v>
      </c>
      <c r="C26" s="19">
        <f t="shared" ca="1" si="3"/>
        <v>0.41829431344390983</v>
      </c>
      <c r="D26" s="19">
        <f t="shared" ca="1" si="3"/>
        <v>0.41905970608392323</v>
      </c>
      <c r="E26" s="19">
        <f ca="1">E36</f>
        <v>0.44244711176846113</v>
      </c>
      <c r="G26" s="71" t="s">
        <v>58</v>
      </c>
      <c r="H26" s="19">
        <f t="shared" ref="H26:J26" ca="1" si="4">H36</f>
        <v>0.41881010681730618</v>
      </c>
      <c r="I26" s="19">
        <f t="shared" ca="1" si="4"/>
        <v>0.41829431344390972</v>
      </c>
      <c r="J26" s="19">
        <f t="shared" ca="1" si="4"/>
        <v>0.41905970608392334</v>
      </c>
      <c r="K26" s="19">
        <f ca="1">K36</f>
        <v>0.44244711176846102</v>
      </c>
    </row>
    <row r="27" spans="1:11" x14ac:dyDescent="0.25">
      <c r="A27" s="73" t="s">
        <v>10</v>
      </c>
      <c r="B27" s="101">
        <f ca="1">(1-B26)</f>
        <v>0.58118989318269398</v>
      </c>
      <c r="C27" s="20">
        <f ca="1">(1-C26)</f>
        <v>0.58170568655609012</v>
      </c>
      <c r="D27" s="20">
        <f ca="1">(1-D26)</f>
        <v>0.58094029391607682</v>
      </c>
      <c r="E27" s="20">
        <f ca="1">(1-E26)</f>
        <v>0.55755288823153881</v>
      </c>
      <c r="G27" s="73" t="s">
        <v>10</v>
      </c>
      <c r="H27" s="101">
        <f ca="1">(1-H26)</f>
        <v>0.58118989318269376</v>
      </c>
      <c r="I27" s="20">
        <f ca="1">(1-I26)</f>
        <v>0.58170568655609034</v>
      </c>
      <c r="J27" s="20">
        <f ca="1">(1-J26)</f>
        <v>0.5809402939160766</v>
      </c>
      <c r="K27" s="20">
        <f ca="1">(1-K26)</f>
        <v>0.55755288823153903</v>
      </c>
    </row>
    <row r="28" spans="1:11" x14ac:dyDescent="0.25">
      <c r="A28" s="73" t="s">
        <v>13</v>
      </c>
      <c r="B28" s="102">
        <f ca="1">B26/B27</f>
        <v>0.72060803487794878</v>
      </c>
      <c r="C28" s="18">
        <f ca="1">C26/C27</f>
        <v>0.71908238669689606</v>
      </c>
      <c r="D28" s="18">
        <f ca="1">D26/D27</f>
        <v>0.7213472889943161</v>
      </c>
      <c r="E28" s="18">
        <f ca="1">E26/E27</f>
        <v>0.79355182460237406</v>
      </c>
      <c r="G28" s="73" t="s">
        <v>13</v>
      </c>
      <c r="H28" s="102">
        <f ca="1">H26/H27</f>
        <v>0.72060803487794922</v>
      </c>
      <c r="I28" s="18">
        <f ca="1">I26/I27</f>
        <v>0.71908238669689561</v>
      </c>
      <c r="J28" s="18">
        <f ca="1">J26/J27</f>
        <v>0.72134728899431666</v>
      </c>
      <c r="K28" s="18">
        <f ca="1">K26/K27</f>
        <v>0.7935518246023735</v>
      </c>
    </row>
    <row r="29" spans="1:11" ht="18.75" x14ac:dyDescent="0.35">
      <c r="A29" s="71" t="s">
        <v>60</v>
      </c>
      <c r="B29" s="72">
        <f>B8*(1-B9)</f>
        <v>2.4E-2</v>
      </c>
      <c r="C29" s="72">
        <f>C8*(1-C9)</f>
        <v>4.0500000000000008E-2</v>
      </c>
      <c r="D29" s="72">
        <f>D8*(1-D9)</f>
        <v>4.8600000000000004E-2</v>
      </c>
      <c r="E29" s="72">
        <f>E8*(1-E9)</f>
        <v>5.7400000000000007E-2</v>
      </c>
      <c r="G29" s="71" t="s">
        <v>60</v>
      </c>
      <c r="H29" s="72">
        <f>B8*(1-B9)</f>
        <v>2.4E-2</v>
      </c>
      <c r="I29" s="72">
        <f t="shared" ref="I29:K29" si="5">C8*(1-C9)</f>
        <v>4.0500000000000008E-2</v>
      </c>
      <c r="J29" s="72">
        <f t="shared" si="5"/>
        <v>4.8600000000000004E-2</v>
      </c>
      <c r="K29" s="72">
        <f t="shared" si="5"/>
        <v>5.7400000000000007E-2</v>
      </c>
    </row>
    <row r="30" spans="1:11" ht="17.25" x14ac:dyDescent="0.3">
      <c r="A30" s="138" t="s">
        <v>101</v>
      </c>
      <c r="B30" s="139">
        <f t="shared" ref="B30:C30" ca="1" si="6">$H$10+($H$10-B8)*(B5-B49)/B35</f>
        <v>0.20485249002431705</v>
      </c>
      <c r="C30" s="139">
        <f t="shared" ca="1" si="6"/>
        <v>0.19673690939759619</v>
      </c>
      <c r="D30" s="139">
        <f ca="1">$H$10+($H$10-D8)*(D5-D49)/D35</f>
        <v>0.19289960493925901</v>
      </c>
      <c r="E30" s="139">
        <f ca="1">$H$10+($H$10-E8)*(E5-E49)/E35</f>
        <v>0.19348663998821009</v>
      </c>
      <c r="G30" s="138" t="s">
        <v>108</v>
      </c>
      <c r="H30" s="139">
        <f ca="1">$H$7+$H$8*H24</f>
        <v>0.20485249002431707</v>
      </c>
      <c r="I30" s="139">
        <f t="shared" ref="I30:K30" ca="1" si="7">$H$7+$H$8*I24</f>
        <v>0.19673690939759617</v>
      </c>
      <c r="J30" s="139">
        <f t="shared" ca="1" si="7"/>
        <v>0.19289960493925901</v>
      </c>
      <c r="K30" s="139">
        <f t="shared" ca="1" si="7"/>
        <v>0.19348663998821006</v>
      </c>
    </row>
    <row r="31" spans="1:11" x14ac:dyDescent="0.25">
      <c r="A31" s="77" t="s">
        <v>63</v>
      </c>
      <c r="B31" s="104">
        <f ca="1">B29*B26+B30*B27</f>
        <v>0.12910963935905706</v>
      </c>
      <c r="C31" s="104">
        <f t="shared" ref="C31:E31" ca="1" si="8">C29*C26+C30*C27</f>
        <v>0.13138389864653036</v>
      </c>
      <c r="D31" s="104">
        <f t="shared" ca="1" si="8"/>
        <v>0.13242945490538691</v>
      </c>
      <c r="E31" s="104">
        <f t="shared" ca="1" si="8"/>
        <v>0.13327549917515216</v>
      </c>
      <c r="G31" s="77" t="s">
        <v>63</v>
      </c>
      <c r="H31" s="104">
        <f ca="1">H29*H26+H30*H27</f>
        <v>0.12910963935905703</v>
      </c>
      <c r="I31" s="104">
        <f t="shared" ref="I31:K31" ca="1" si="9">I29*I26+I30*I27</f>
        <v>0.13138389864653038</v>
      </c>
      <c r="J31" s="104">
        <f t="shared" ca="1" si="9"/>
        <v>0.13242945490538688</v>
      </c>
      <c r="K31" s="104">
        <f t="shared" ca="1" si="9"/>
        <v>0.13327549917515219</v>
      </c>
    </row>
    <row r="32" spans="1:11" x14ac:dyDescent="0.25">
      <c r="A32" s="17" t="s">
        <v>14</v>
      </c>
      <c r="B32" s="24">
        <f>B$15</f>
        <v>28</v>
      </c>
      <c r="C32" s="24">
        <f>C$15</f>
        <v>33.46</v>
      </c>
      <c r="D32" s="24">
        <f>D$15</f>
        <v>38.806000000000012</v>
      </c>
      <c r="E32" s="24">
        <f>E15</f>
        <v>49.017960000000009</v>
      </c>
      <c r="G32" s="17" t="s">
        <v>14</v>
      </c>
      <c r="H32" s="24">
        <f>B$15</f>
        <v>28</v>
      </c>
      <c r="I32" s="24">
        <f t="shared" ref="I32:K32" si="10">C$15</f>
        <v>33.46</v>
      </c>
      <c r="J32" s="24">
        <f t="shared" si="10"/>
        <v>38.806000000000012</v>
      </c>
      <c r="K32" s="24">
        <f t="shared" si="10"/>
        <v>49.017960000000009</v>
      </c>
    </row>
    <row r="33" spans="1:11" x14ac:dyDescent="0.25">
      <c r="A33" s="15" t="s">
        <v>5</v>
      </c>
      <c r="B33" s="16">
        <f ca="1">(C33+B32)/(1+B31)</f>
        <v>405.91188520232532</v>
      </c>
      <c r="C33" s="16">
        <f ca="1">(D33+C32)/(1+C31)</f>
        <v>430.31902231235262</v>
      </c>
      <c r="D33" s="16">
        <f ca="1">(E33+D32)/(1+D31)</f>
        <v>453.3960131255127</v>
      </c>
      <c r="E33" s="16">
        <f ca="1">E32/(E31-H11)</f>
        <v>474.6330000000001</v>
      </c>
      <c r="G33" s="15" t="s">
        <v>5</v>
      </c>
      <c r="H33" s="16">
        <f ca="1">(I33+H32)/(1+H31)</f>
        <v>405.91188520232544</v>
      </c>
      <c r="I33" s="16">
        <f ca="1">(J33+I32)/(1+I31)</f>
        <v>430.3190223123525</v>
      </c>
      <c r="J33" s="16">
        <f ca="1">(K33+J32)/(1+J31)</f>
        <v>453.39601312551281</v>
      </c>
      <c r="K33" s="16">
        <f ca="1">K32/(K31-H11)</f>
        <v>474.63299999999998</v>
      </c>
    </row>
    <row r="34" spans="1:11" x14ac:dyDescent="0.25">
      <c r="A34" s="17" t="s">
        <v>38</v>
      </c>
      <c r="B34" s="108">
        <f>B5</f>
        <v>170</v>
      </c>
      <c r="C34" s="108">
        <f>C5</f>
        <v>180</v>
      </c>
      <c r="D34" s="108">
        <f>D5</f>
        <v>190</v>
      </c>
      <c r="E34" s="108">
        <f>E5</f>
        <v>210</v>
      </c>
      <c r="G34" s="17" t="s">
        <v>38</v>
      </c>
      <c r="H34" s="108">
        <f>B5</f>
        <v>170</v>
      </c>
      <c r="I34" s="108">
        <f t="shared" ref="I34:K34" si="11">C5</f>
        <v>180</v>
      </c>
      <c r="J34" s="108">
        <f t="shared" si="11"/>
        <v>190</v>
      </c>
      <c r="K34" s="108">
        <f t="shared" si="11"/>
        <v>210</v>
      </c>
    </row>
    <row r="35" spans="1:11" x14ac:dyDescent="0.25">
      <c r="A35" s="80" t="s">
        <v>49</v>
      </c>
      <c r="B35" s="81">
        <f ca="1">B33-B34</f>
        <v>235.91188520232532</v>
      </c>
      <c r="C35" s="37">
        <f t="shared" ref="C35:E35" ca="1" si="12">C33-C34</f>
        <v>250.31902231235262</v>
      </c>
      <c r="D35" s="37">
        <f t="shared" ca="1" si="12"/>
        <v>263.3960131255127</v>
      </c>
      <c r="E35" s="37">
        <f t="shared" ca="1" si="12"/>
        <v>264.6330000000001</v>
      </c>
      <c r="G35" s="80" t="s">
        <v>49</v>
      </c>
      <c r="H35" s="81">
        <f ca="1">H33-H34</f>
        <v>235.91188520232544</v>
      </c>
      <c r="I35" s="37">
        <f t="shared" ref="I35:K35" ca="1" si="13">I33-I34</f>
        <v>250.3190223123525</v>
      </c>
      <c r="J35" s="37">
        <f t="shared" ca="1" si="13"/>
        <v>263.39601312551281</v>
      </c>
      <c r="K35" s="37">
        <f t="shared" ca="1" si="13"/>
        <v>264.63299999999998</v>
      </c>
    </row>
    <row r="36" spans="1:11" ht="18.75" x14ac:dyDescent="0.35">
      <c r="A36" s="13" t="s">
        <v>46</v>
      </c>
      <c r="B36" s="32">
        <f ca="1">B34/B33</f>
        <v>0.41881010681730618</v>
      </c>
      <c r="C36" s="32">
        <f t="shared" ref="C36:E36" ca="1" si="14">C34/C33</f>
        <v>0.41829431344390972</v>
      </c>
      <c r="D36" s="32">
        <f t="shared" ca="1" si="14"/>
        <v>0.41905970608392334</v>
      </c>
      <c r="E36" s="32">
        <f t="shared" ca="1" si="14"/>
        <v>0.44244711176846102</v>
      </c>
      <c r="G36" s="13" t="s">
        <v>46</v>
      </c>
      <c r="H36" s="32">
        <f ca="1">H34/H33</f>
        <v>0.41881010681730607</v>
      </c>
      <c r="I36" s="32">
        <f t="shared" ref="I36:K36" ca="1" si="15">I34/I33</f>
        <v>0.41829431344390983</v>
      </c>
      <c r="J36" s="32">
        <f t="shared" ca="1" si="15"/>
        <v>0.41905970608392323</v>
      </c>
      <c r="K36" s="32">
        <f t="shared" ca="1" si="15"/>
        <v>0.44244711176846113</v>
      </c>
    </row>
    <row r="38" spans="1:11" x14ac:dyDescent="0.25">
      <c r="A38" s="57" t="s">
        <v>67</v>
      </c>
      <c r="G38" s="57" t="s">
        <v>67</v>
      </c>
    </row>
    <row r="39" spans="1:11" x14ac:dyDescent="0.25">
      <c r="A39" s="17" t="s">
        <v>6</v>
      </c>
      <c r="B39" s="24">
        <f>B18</f>
        <v>33.92</v>
      </c>
      <c r="C39" s="24">
        <f t="shared" ref="C39:E39" si="16">C18</f>
        <v>36.17</v>
      </c>
      <c r="D39" s="24">
        <f t="shared" si="16"/>
        <v>49.57200000000001</v>
      </c>
      <c r="E39" s="24">
        <f t="shared" si="16"/>
        <v>43.263960000000004</v>
      </c>
      <c r="G39" s="17" t="s">
        <v>6</v>
      </c>
      <c r="H39" s="24">
        <f>B18</f>
        <v>33.92</v>
      </c>
      <c r="I39" s="24">
        <f t="shared" ref="I39:K39" si="17">C18</f>
        <v>36.17</v>
      </c>
      <c r="J39" s="24">
        <f t="shared" si="17"/>
        <v>49.57200000000001</v>
      </c>
      <c r="K39" s="24">
        <f t="shared" si="17"/>
        <v>43.263960000000004</v>
      </c>
    </row>
    <row r="40" spans="1:11" ht="17.25" x14ac:dyDescent="0.3">
      <c r="A40" s="97" t="s">
        <v>62</v>
      </c>
      <c r="B40" s="103">
        <f ca="1">B30</f>
        <v>0.20485249002431705</v>
      </c>
      <c r="C40" s="103">
        <f ca="1">C30</f>
        <v>0.19673690939759619</v>
      </c>
      <c r="D40" s="103">
        <f ca="1">D30</f>
        <v>0.19289960493925901</v>
      </c>
      <c r="E40" s="103">
        <f ca="1">E30</f>
        <v>0.19348663998821009</v>
      </c>
      <c r="G40" s="97" t="s">
        <v>111</v>
      </c>
      <c r="H40" s="103">
        <f ca="1">$H$7+$H$8*H24</f>
        <v>0.20485249002431707</v>
      </c>
      <c r="I40" s="103">
        <f t="shared" ref="I40:K40" ca="1" si="18">$H$7+$H$8*I24</f>
        <v>0.19673690939759617</v>
      </c>
      <c r="J40" s="103">
        <f t="shared" ca="1" si="18"/>
        <v>0.19289960493925901</v>
      </c>
      <c r="K40" s="103">
        <f t="shared" ca="1" si="18"/>
        <v>0.19348663998821006</v>
      </c>
    </row>
    <row r="41" spans="1:11" x14ac:dyDescent="0.25">
      <c r="A41" s="83" t="s">
        <v>49</v>
      </c>
      <c r="B41" s="106">
        <f ca="1">(C41+B39)/(1+B40)</f>
        <v>235.91188520232546</v>
      </c>
      <c r="C41" s="107">
        <f ca="1">(D41+C39)/(1+C40)</f>
        <v>250.31902231235262</v>
      </c>
      <c r="D41" s="107">
        <f ca="1">(E41+D39)/(1+D40)</f>
        <v>263.39601312551275</v>
      </c>
      <c r="E41" s="107">
        <f ca="1">E39/(E40-H11)</f>
        <v>264.63300000000004</v>
      </c>
      <c r="G41" s="83" t="s">
        <v>49</v>
      </c>
      <c r="H41" s="106">
        <f t="shared" ref="H41:I41" ca="1" si="19">(I41+H39)/(1+H40)</f>
        <v>235.91188520232541</v>
      </c>
      <c r="I41" s="107">
        <f t="shared" ca="1" si="19"/>
        <v>250.31902231235264</v>
      </c>
      <c r="J41" s="107">
        <f ca="1">(K41+J39)/(1+J40)</f>
        <v>263.39601312551275</v>
      </c>
      <c r="K41" s="107">
        <f ca="1">K39/(K40-H11)</f>
        <v>264.6330000000001</v>
      </c>
    </row>
    <row r="42" spans="1:11" x14ac:dyDescent="0.25">
      <c r="A42" s="7"/>
      <c r="G42" s="7"/>
    </row>
    <row r="43" spans="1:11" x14ac:dyDescent="0.25">
      <c r="A43" s="57" t="s">
        <v>64</v>
      </c>
      <c r="B43" s="3"/>
      <c r="C43" s="3"/>
      <c r="D43" s="3"/>
      <c r="G43" s="166" t="s">
        <v>130</v>
      </c>
      <c r="H43" s="166"/>
      <c r="I43" s="166"/>
      <c r="J43" s="166"/>
      <c r="K43" s="166"/>
    </row>
    <row r="44" spans="1:11" ht="18.75" x14ac:dyDescent="0.35">
      <c r="A44" s="75" t="s">
        <v>53</v>
      </c>
      <c r="B44" s="76">
        <f>$H$10</f>
        <v>0.15</v>
      </c>
      <c r="C44" s="76">
        <f>$H$10</f>
        <v>0.15</v>
      </c>
      <c r="D44" s="76">
        <f>$H$10</f>
        <v>0.15</v>
      </c>
      <c r="E44" s="76">
        <f>$H$10</f>
        <v>0.15</v>
      </c>
      <c r="G44" s="166" t="s">
        <v>131</v>
      </c>
      <c r="H44" s="166"/>
      <c r="I44" s="166"/>
      <c r="J44" s="166"/>
      <c r="K44" s="166"/>
    </row>
    <row r="45" spans="1:11" x14ac:dyDescent="0.25">
      <c r="A45" s="12" t="s">
        <v>14</v>
      </c>
      <c r="B45" s="21">
        <f>B15</f>
        <v>28</v>
      </c>
      <c r="C45" s="21">
        <f t="shared" ref="C45:E45" si="20">C15</f>
        <v>33.46</v>
      </c>
      <c r="D45" s="21">
        <f t="shared" si="20"/>
        <v>38.806000000000012</v>
      </c>
      <c r="E45" s="21">
        <f t="shared" si="20"/>
        <v>49.017960000000009</v>
      </c>
      <c r="G45" s="166" t="s">
        <v>146</v>
      </c>
      <c r="H45" s="166"/>
      <c r="I45" s="166"/>
      <c r="J45" s="166"/>
      <c r="K45" s="166"/>
    </row>
    <row r="46" spans="1:11" x14ac:dyDescent="0.25">
      <c r="A46" s="86" t="s">
        <v>51</v>
      </c>
      <c r="B46" s="21">
        <f>(C46+B45)/(1+B44)</f>
        <v>343.74817128297866</v>
      </c>
      <c r="C46" s="21">
        <f>(D46+C45)/(1+C44)</f>
        <v>367.31039697542542</v>
      </c>
      <c r="D46" s="21">
        <f>(E46+D45)/(1+D44)</f>
        <v>388.94695652173925</v>
      </c>
      <c r="E46" s="10">
        <f>E45/(E44-$H$11)</f>
        <v>408.48300000000012</v>
      </c>
    </row>
    <row r="47" spans="1:11" ht="18.75" x14ac:dyDescent="0.35">
      <c r="A47" s="82" t="s">
        <v>52</v>
      </c>
      <c r="B47" s="29">
        <f>B8</f>
        <v>0.03</v>
      </c>
      <c r="C47" s="29">
        <f>C8</f>
        <v>0.05</v>
      </c>
      <c r="D47" s="29">
        <f>D8</f>
        <v>0.06</v>
      </c>
      <c r="E47" s="29">
        <f>E8</f>
        <v>7.0000000000000007E-2</v>
      </c>
    </row>
    <row r="48" spans="1:11" x14ac:dyDescent="0.25">
      <c r="A48" s="82" t="s">
        <v>50</v>
      </c>
      <c r="B48" s="21">
        <f>B8*B5*B9</f>
        <v>1.02</v>
      </c>
      <c r="C48" s="21">
        <f>C8*C5*C9</f>
        <v>1.71</v>
      </c>
      <c r="D48" s="21">
        <f>D8*D5*D9</f>
        <v>2.1659999999999999</v>
      </c>
      <c r="E48" s="21">
        <f>E8*E5*E9</f>
        <v>2.6459999999999999</v>
      </c>
    </row>
    <row r="49" spans="1:5" x14ac:dyDescent="0.25">
      <c r="A49" s="13" t="s">
        <v>137</v>
      </c>
      <c r="B49" s="34">
        <f>(C49+B48)/(1+B47)</f>
        <v>62.163713919346797</v>
      </c>
      <c r="C49" s="14">
        <f>(D49+C48)/(1+C47)</f>
        <v>63.008625336927203</v>
      </c>
      <c r="D49" s="14">
        <f>(E49+D48)/(1+D47)</f>
        <v>64.44905660377357</v>
      </c>
      <c r="E49" s="14">
        <f>E48/(E47-$H$11)</f>
        <v>66.149999999999991</v>
      </c>
    </row>
    <row r="50" spans="1:5" x14ac:dyDescent="0.25">
      <c r="A50" s="35" t="s">
        <v>9</v>
      </c>
      <c r="B50" s="36">
        <f>B46+B49</f>
        <v>405.91188520232544</v>
      </c>
      <c r="C50" s="36">
        <f>C46+C49</f>
        <v>430.31902231235262</v>
      </c>
      <c r="D50" s="36">
        <f>D46+D49</f>
        <v>453.39601312551281</v>
      </c>
      <c r="E50" s="36">
        <f>E46+E49</f>
        <v>474.6330000000001</v>
      </c>
    </row>
    <row r="51" spans="1:5" x14ac:dyDescent="0.25">
      <c r="A51" s="40" t="s">
        <v>2</v>
      </c>
      <c r="B51" s="41">
        <f>B5</f>
        <v>170</v>
      </c>
      <c r="C51" s="41">
        <f>C5</f>
        <v>180</v>
      </c>
      <c r="D51" s="41">
        <f>D5</f>
        <v>190</v>
      </c>
      <c r="E51" s="41">
        <f>E5</f>
        <v>210</v>
      </c>
    </row>
    <row r="52" spans="1:5" x14ac:dyDescent="0.25">
      <c r="A52" s="83" t="s">
        <v>49</v>
      </c>
      <c r="B52" s="105">
        <f>B50-B51</f>
        <v>235.91188520232544</v>
      </c>
      <c r="C52" s="85">
        <f t="shared" ref="C52:E52" si="21">C50-C51</f>
        <v>250.31902231235262</v>
      </c>
      <c r="D52" s="85">
        <f t="shared" si="21"/>
        <v>263.39601312551281</v>
      </c>
      <c r="E52" s="85">
        <f t="shared" si="21"/>
        <v>264.6330000000001</v>
      </c>
    </row>
    <row r="53" spans="1:5" x14ac:dyDescent="0.25">
      <c r="B53" s="8"/>
      <c r="C53" s="1"/>
      <c r="D53" s="1"/>
      <c r="E53" s="8"/>
    </row>
    <row r="57" spans="1:5" x14ac:dyDescent="0.25">
      <c r="A57" s="7"/>
    </row>
    <row r="58" spans="1:5" x14ac:dyDescent="0.25">
      <c r="A58" s="7"/>
    </row>
    <row r="59" spans="1:5" x14ac:dyDescent="0.25">
      <c r="A59" s="7"/>
    </row>
    <row r="60" spans="1:5" x14ac:dyDescent="0.25">
      <c r="A60" s="7"/>
    </row>
    <row r="61" spans="1:5" x14ac:dyDescent="0.25">
      <c r="A61" s="7"/>
    </row>
    <row r="62" spans="1:5" x14ac:dyDescent="0.25">
      <c r="A62" s="7"/>
    </row>
    <row r="63" spans="1:5" x14ac:dyDescent="0.25">
      <c r="A63" s="7"/>
    </row>
    <row r="64" spans="1:5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hyperlinks>
    <hyperlink ref="I1" location="Úvod!A31" display="Skok na obsah" xr:uid="{CE8ABE5D-62C3-4341-BC6C-AB8B27AA63E2}"/>
  </hyperlinks>
  <printOptions gridLinesSet="0"/>
  <pageMargins left="0.78740157480314965" right="0.78740157480314965" top="0.98425196850393704" bottom="0.78740157480314965" header="0.51181102362204722" footer="0.51181102362204722"/>
  <pageSetup paperSize="9" scale="50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rowBreaks count="1" manualBreakCount="1">
    <brk id="49" max="65535" man="1"/>
  </rowBreaks>
  <drawing r:id="rId2"/>
  <legacyDrawing r:id="rId3"/>
  <oleObjects>
    <mc:AlternateContent xmlns:mc="http://schemas.openxmlformats.org/markup-compatibility/2006">
      <mc:Choice Requires="x14">
        <oleObject progId="Equation.3" shapeId="87043" r:id="rId4">
          <objectPr defaultSize="0" autoPict="0" r:id="rId5">
            <anchor moveWithCells="1" sizeWithCells="1">
              <from>
                <xdr:col>11</xdr:col>
                <xdr:colOff>161925</xdr:colOff>
                <xdr:row>22</xdr:row>
                <xdr:rowOff>104775</xdr:rowOff>
              </from>
              <to>
                <xdr:col>14</xdr:col>
                <xdr:colOff>504825</xdr:colOff>
                <xdr:row>24</xdr:row>
                <xdr:rowOff>123825</xdr:rowOff>
              </to>
            </anchor>
          </objectPr>
        </oleObject>
      </mc:Choice>
      <mc:Fallback>
        <oleObject progId="Equation.3" shapeId="87043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BECE-2F46-4C56-BF26-A2230E0924D9}">
  <sheetPr>
    <pageSetUpPr fitToPage="1"/>
  </sheetPr>
  <dimension ref="A1:K73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22.625" customWidth="1"/>
  </cols>
  <sheetData>
    <row r="1" spans="1:11" ht="18.75" x14ac:dyDescent="0.3">
      <c r="A1" s="53" t="s">
        <v>132</v>
      </c>
      <c r="B1" s="54" t="s">
        <v>135</v>
      </c>
      <c r="J1" s="172" t="s">
        <v>164</v>
      </c>
    </row>
    <row r="2" spans="1:11" x14ac:dyDescent="0.25">
      <c r="B2" s="54"/>
    </row>
    <row r="3" spans="1:11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G3" s="55" t="s">
        <v>0</v>
      </c>
      <c r="H3" s="56">
        <f>'1-MM, cílová struktura'!$B$3</f>
        <v>2023</v>
      </c>
      <c r="I3" s="56">
        <f>H3+1</f>
        <v>2024</v>
      </c>
      <c r="J3" s="56">
        <f>I3+1</f>
        <v>2025</v>
      </c>
      <c r="K3" s="56" t="s">
        <v>1</v>
      </c>
    </row>
    <row r="4" spans="1:11" ht="17.25" customHeight="1" x14ac:dyDescent="0.25">
      <c r="A4" s="57" t="s">
        <v>100</v>
      </c>
      <c r="G4" s="1" t="s">
        <v>37</v>
      </c>
    </row>
    <row r="5" spans="1:11" x14ac:dyDescent="0.25">
      <c r="A5" s="17" t="s">
        <v>38</v>
      </c>
      <c r="B5" s="91">
        <f>'3 -MM, růst, iterace'!B5</f>
        <v>170</v>
      </c>
      <c r="C5" s="91">
        <f>'3 -MM, růst, iterace'!C5</f>
        <v>180</v>
      </c>
      <c r="D5" s="91">
        <f>'3 -MM, růst, iterace'!D5</f>
        <v>190</v>
      </c>
      <c r="E5" s="91">
        <f>'3 -MM, růst, iterace'!E5</f>
        <v>210</v>
      </c>
      <c r="G5" s="65" t="s">
        <v>7</v>
      </c>
      <c r="H5" s="165" t="s">
        <v>138</v>
      </c>
    </row>
    <row r="6" spans="1:11" ht="18.75" x14ac:dyDescent="0.35">
      <c r="A6" s="12" t="s">
        <v>39</v>
      </c>
      <c r="B6" s="92">
        <f>'1-MM, cílová struktura'!B6</f>
        <v>180</v>
      </c>
      <c r="C6" s="21">
        <f>'1-MM, cílová struktura'!C6</f>
        <v>190</v>
      </c>
      <c r="D6" s="21">
        <f>'1-MM, cílová struktura'!D6</f>
        <v>200</v>
      </c>
      <c r="E6" s="21">
        <f>'1-MM, cílová struktura'!E6</f>
        <v>200</v>
      </c>
      <c r="G6" s="65" t="s">
        <v>34</v>
      </c>
      <c r="H6" s="165" t="s">
        <v>138</v>
      </c>
      <c r="K6" s="140"/>
    </row>
    <row r="7" spans="1:11" ht="18.75" x14ac:dyDescent="0.35">
      <c r="A7" s="30" t="s">
        <v>40</v>
      </c>
      <c r="B7" s="26">
        <f>B5+B6</f>
        <v>350</v>
      </c>
      <c r="C7" s="31">
        <f>C5+C6</f>
        <v>370</v>
      </c>
      <c r="D7" s="31">
        <f>D5+D6</f>
        <v>390</v>
      </c>
      <c r="E7" s="31">
        <f>E5+E6</f>
        <v>410</v>
      </c>
      <c r="G7" s="60" t="s">
        <v>103</v>
      </c>
      <c r="H7" s="96">
        <f>'10a-Beta - stabilní CK'!H7</f>
        <v>0.03</v>
      </c>
      <c r="J7" s="141"/>
      <c r="K7" s="142"/>
    </row>
    <row r="8" spans="1:11" ht="18.75" x14ac:dyDescent="0.35">
      <c r="A8" s="12" t="s">
        <v>42</v>
      </c>
      <c r="B8" s="161">
        <f>'3 -MM, růst, iterace'!B8</f>
        <v>0.03</v>
      </c>
      <c r="C8" s="161">
        <f>'3 -MM, růst, iterace'!C8</f>
        <v>0.05</v>
      </c>
      <c r="D8" s="161">
        <f>'3 -MM, růst, iterace'!D8</f>
        <v>0.06</v>
      </c>
      <c r="E8" s="161">
        <f>'3 -MM, růst, iterace'!E8</f>
        <v>7.0000000000000007E-2</v>
      </c>
      <c r="G8" s="60" t="s">
        <v>102</v>
      </c>
      <c r="H8" s="96">
        <f>'10a-Beta - stabilní CK'!H8</f>
        <v>0.12</v>
      </c>
      <c r="J8" s="144"/>
      <c r="K8" s="143"/>
    </row>
    <row r="9" spans="1:11" ht="18.75" x14ac:dyDescent="0.35">
      <c r="A9" s="13" t="s">
        <v>57</v>
      </c>
      <c r="B9" s="162">
        <f>'3 -MM, růst, iterace'!B9</f>
        <v>0.2</v>
      </c>
      <c r="C9" s="162">
        <f>'3 -MM, růst, iterace'!C9</f>
        <v>0.19</v>
      </c>
      <c r="D9" s="162">
        <f>'3 -MM, růst, iterace'!D9</f>
        <v>0.19</v>
      </c>
      <c r="E9" s="162">
        <f>'3 -MM, růst, iterace'!E9</f>
        <v>0.18</v>
      </c>
      <c r="G9" s="60" t="s">
        <v>104</v>
      </c>
      <c r="H9" s="146">
        <f>'10a-Beta - stabilní CK'!H9</f>
        <v>1</v>
      </c>
      <c r="J9" s="142"/>
      <c r="K9" s="141"/>
    </row>
    <row r="10" spans="1:11" ht="18.75" x14ac:dyDescent="0.35">
      <c r="A10" s="9" t="s">
        <v>15</v>
      </c>
      <c r="B10" s="90">
        <f>'3 -MM, růst, iterace'!B10</f>
        <v>60</v>
      </c>
      <c r="C10" s="90">
        <f>'3 -MM, růst, iterace'!C10</f>
        <v>66</v>
      </c>
      <c r="D10" s="90">
        <f>'3 -MM, růst, iterace'!D10</f>
        <v>72.600000000000009</v>
      </c>
      <c r="E10" s="90">
        <f>'3 -MM, růst, iterace'!E10</f>
        <v>74.778000000000006</v>
      </c>
      <c r="G10" s="60" t="s">
        <v>105</v>
      </c>
      <c r="H10" s="96">
        <f>H7+H8*H9</f>
        <v>0.15</v>
      </c>
      <c r="I10" s="147"/>
    </row>
    <row r="11" spans="1:11" x14ac:dyDescent="0.25">
      <c r="A11" s="1"/>
      <c r="B11" s="38"/>
      <c r="C11" s="38"/>
      <c r="D11" s="38"/>
      <c r="E11" s="38"/>
      <c r="G11" s="65" t="s">
        <v>36</v>
      </c>
      <c r="H11" s="93">
        <f>'3 -MM, růst, iterace'!H7</f>
        <v>0.03</v>
      </c>
    </row>
    <row r="12" spans="1:11" x14ac:dyDescent="0.25">
      <c r="A12" s="57" t="s">
        <v>61</v>
      </c>
    </row>
    <row r="13" spans="1:11" x14ac:dyDescent="0.25">
      <c r="A13" s="17" t="s">
        <v>16</v>
      </c>
      <c r="B13" s="24">
        <f>B10*(1-B9)</f>
        <v>48</v>
      </c>
      <c r="C13" s="24">
        <f>C10*(1-C9)</f>
        <v>53.46</v>
      </c>
      <c r="D13" s="24">
        <f>D10*(1-D9)</f>
        <v>58.806000000000012</v>
      </c>
      <c r="E13" s="24">
        <f>E10*(1-E9)</f>
        <v>61.317960000000006</v>
      </c>
      <c r="H13" s="42"/>
    </row>
    <row r="14" spans="1:11" x14ac:dyDescent="0.25">
      <c r="A14" s="13" t="s">
        <v>41</v>
      </c>
      <c r="B14" s="14">
        <f>-(C7-B7)</f>
        <v>-20</v>
      </c>
      <c r="C14" s="14">
        <f>-(D7-C7)</f>
        <v>-20</v>
      </c>
      <c r="D14" s="14">
        <f>-(E7-D7)</f>
        <v>-20</v>
      </c>
      <c r="E14" s="14">
        <f>-E7*H11</f>
        <v>-12.299999999999999</v>
      </c>
    </row>
    <row r="15" spans="1:11" x14ac:dyDescent="0.25">
      <c r="A15" s="30" t="s">
        <v>14</v>
      </c>
      <c r="B15" s="31">
        <f>B13+B14</f>
        <v>28</v>
      </c>
      <c r="C15" s="31">
        <f>C13+C14</f>
        <v>33.46</v>
      </c>
      <c r="D15" s="31">
        <f>D13+D14</f>
        <v>38.806000000000012</v>
      </c>
      <c r="E15" s="31">
        <f>E13+E14</f>
        <v>49.017960000000009</v>
      </c>
    </row>
    <row r="16" spans="1:11" ht="18.75" x14ac:dyDescent="0.35">
      <c r="A16" s="82" t="s">
        <v>48</v>
      </c>
      <c r="B16" s="10">
        <f>-B8*B5*(1-B9)</f>
        <v>-4.08</v>
      </c>
      <c r="C16" s="10">
        <f>-C8*C5*(1-C9)</f>
        <v>-7.2900000000000009</v>
      </c>
      <c r="D16" s="10">
        <f>-D8*D5*(1-D9)</f>
        <v>-9.2340000000000018</v>
      </c>
      <c r="E16" s="10">
        <f>-E8*E5*(1-E9)</f>
        <v>-12.054000000000002</v>
      </c>
    </row>
    <row r="17" spans="1:11" x14ac:dyDescent="0.25">
      <c r="A17" s="25" t="s">
        <v>11</v>
      </c>
      <c r="B17" s="21">
        <f>C5-B5</f>
        <v>10</v>
      </c>
      <c r="C17" s="21">
        <f>D5-C5</f>
        <v>10</v>
      </c>
      <c r="D17" s="21">
        <f>E5-D5</f>
        <v>20</v>
      </c>
      <c r="E17" s="21">
        <f>E5*H11</f>
        <v>6.3</v>
      </c>
    </row>
    <row r="18" spans="1:11" x14ac:dyDescent="0.25">
      <c r="A18" s="9" t="s">
        <v>6</v>
      </c>
      <c r="B18" s="90">
        <f>SUM(B15:B17)</f>
        <v>33.92</v>
      </c>
      <c r="C18" s="90">
        <f t="shared" ref="C18:E18" si="0">SUM(C15:C17)</f>
        <v>36.17</v>
      </c>
      <c r="D18" s="90">
        <f t="shared" si="0"/>
        <v>49.57200000000001</v>
      </c>
      <c r="E18" s="90">
        <f t="shared" si="0"/>
        <v>43.263960000000004</v>
      </c>
    </row>
    <row r="19" spans="1:11" x14ac:dyDescent="0.25">
      <c r="A19" s="1"/>
      <c r="B19" s="38"/>
      <c r="C19" s="38"/>
      <c r="D19" s="38"/>
      <c r="E19" s="38"/>
    </row>
    <row r="20" spans="1:11" x14ac:dyDescent="0.25">
      <c r="A20" s="137" t="s">
        <v>143</v>
      </c>
      <c r="B20" s="38"/>
      <c r="C20" s="38"/>
      <c r="D20" s="38"/>
      <c r="E20" s="44"/>
      <c r="G20" s="137" t="s">
        <v>106</v>
      </c>
    </row>
    <row r="21" spans="1:11" ht="17.25" x14ac:dyDescent="0.3">
      <c r="A21" s="54" t="s">
        <v>134</v>
      </c>
      <c r="B21" s="38"/>
      <c r="C21" s="38"/>
      <c r="D21" s="38"/>
      <c r="E21" s="44"/>
      <c r="G21" s="57" t="s">
        <v>109</v>
      </c>
    </row>
    <row r="22" spans="1:11" ht="18.75" x14ac:dyDescent="0.35">
      <c r="A22" s="137" t="s">
        <v>133</v>
      </c>
      <c r="B22" s="38"/>
      <c r="C22" s="38"/>
      <c r="D22" s="38"/>
      <c r="E22" s="44"/>
      <c r="G22" s="153" t="s">
        <v>122</v>
      </c>
      <c r="H22" s="91">
        <f>(B8-$H$7)/$H$8</f>
        <v>0</v>
      </c>
      <c r="I22" s="91">
        <f t="shared" ref="I22:K22" si="1">(C8-$H$7)/$H$8</f>
        <v>0.16666666666666671</v>
      </c>
      <c r="J22" s="91">
        <f t="shared" si="1"/>
        <v>0.25</v>
      </c>
      <c r="K22" s="91">
        <f t="shared" si="1"/>
        <v>0.33333333333333343</v>
      </c>
    </row>
    <row r="23" spans="1:11" x14ac:dyDescent="0.25">
      <c r="A23" s="137"/>
      <c r="B23" s="38"/>
      <c r="C23" s="38"/>
      <c r="D23" s="38"/>
      <c r="E23" s="44"/>
      <c r="G23" s="73"/>
      <c r="H23" s="12"/>
      <c r="I23" s="12"/>
      <c r="J23" s="12"/>
      <c r="K23" s="10"/>
    </row>
    <row r="24" spans="1:11" ht="17.25" x14ac:dyDescent="0.3">
      <c r="A24" s="137"/>
      <c r="B24" s="38"/>
      <c r="C24" s="38"/>
      <c r="D24" s="38"/>
      <c r="E24" s="44"/>
      <c r="G24" s="138" t="s">
        <v>110</v>
      </c>
      <c r="H24" s="150">
        <f t="shared" ref="H24:J24" ca="1" si="2">$H$9+($H$9-H22)*B5/H35</f>
        <v>1.8861064148519757</v>
      </c>
      <c r="I24" s="150">
        <f t="shared" ca="1" si="2"/>
        <v>1.7242593569562665</v>
      </c>
      <c r="J24" s="150">
        <f t="shared" ca="1" si="2"/>
        <v>1.6477144720460069</v>
      </c>
      <c r="K24" s="150">
        <f ca="1">$H$9+($H$9-K22)*E5/K35</f>
        <v>1.6348256270036678</v>
      </c>
    </row>
    <row r="25" spans="1:11" x14ac:dyDescent="0.25">
      <c r="A25" s="57" t="s">
        <v>59</v>
      </c>
      <c r="E25" s="2"/>
      <c r="G25" s="57" t="s">
        <v>59</v>
      </c>
    </row>
    <row r="26" spans="1:11" x14ac:dyDescent="0.25">
      <c r="A26" s="71" t="s">
        <v>58</v>
      </c>
      <c r="B26" s="19">
        <f t="shared" ref="B26:D26" ca="1" si="3">B36</f>
        <v>0.46980722183775547</v>
      </c>
      <c r="C26" s="19">
        <f t="shared" ca="1" si="3"/>
        <v>0.46498636098607182</v>
      </c>
      <c r="D26" s="19">
        <f t="shared" ca="1" si="3"/>
        <v>0.46340971993934305</v>
      </c>
      <c r="E26" s="19">
        <f ca="1">E36</f>
        <v>0.48776748820647886</v>
      </c>
      <c r="G26" s="71" t="s">
        <v>58</v>
      </c>
      <c r="H26" s="19">
        <f t="shared" ref="H26:J26" ca="1" si="4">H36</f>
        <v>0.46980722183775547</v>
      </c>
      <c r="I26" s="19">
        <f t="shared" ca="1" si="4"/>
        <v>0.46498636098607177</v>
      </c>
      <c r="J26" s="19">
        <f t="shared" ca="1" si="4"/>
        <v>0.46340971993934305</v>
      </c>
      <c r="K26" s="19">
        <f ca="1">K36</f>
        <v>0.48776748820647875</v>
      </c>
    </row>
    <row r="27" spans="1:11" x14ac:dyDescent="0.25">
      <c r="A27" s="73" t="s">
        <v>10</v>
      </c>
      <c r="B27" s="101">
        <f ca="1">(1-B26)</f>
        <v>0.53019277816224453</v>
      </c>
      <c r="C27" s="20">
        <f ca="1">(1-C26)</f>
        <v>0.53501363901392818</v>
      </c>
      <c r="D27" s="20">
        <f ca="1">(1-D26)</f>
        <v>0.53659028006065701</v>
      </c>
      <c r="E27" s="20">
        <f ca="1">(1-E26)</f>
        <v>0.51223251179352114</v>
      </c>
      <c r="G27" s="73" t="s">
        <v>10</v>
      </c>
      <c r="H27" s="101">
        <f ca="1">(1-H26)</f>
        <v>0.53019277816224453</v>
      </c>
      <c r="I27" s="20">
        <f ca="1">(1-I26)</f>
        <v>0.53501363901392818</v>
      </c>
      <c r="J27" s="20">
        <f ca="1">(1-J26)</f>
        <v>0.53659028006065701</v>
      </c>
      <c r="K27" s="20">
        <f ca="1">(1-K26)</f>
        <v>0.51223251179352125</v>
      </c>
    </row>
    <row r="28" spans="1:11" x14ac:dyDescent="0.25">
      <c r="A28" s="73" t="s">
        <v>13</v>
      </c>
      <c r="B28" s="102">
        <f ca="1">B26/B27</f>
        <v>0.88610641485197594</v>
      </c>
      <c r="C28" s="18">
        <f ca="1">C26/C27</f>
        <v>0.86911122834752008</v>
      </c>
      <c r="D28" s="18">
        <f ca="1">D26/D27</f>
        <v>0.86361929606134213</v>
      </c>
      <c r="E28" s="18">
        <f ca="1">E26/E27</f>
        <v>0.95223844050550221</v>
      </c>
      <c r="G28" s="73" t="s">
        <v>13</v>
      </c>
      <c r="H28" s="102">
        <f ca="1">H26/H27</f>
        <v>0.88610641485197594</v>
      </c>
      <c r="I28" s="18">
        <f ca="1">I26/I27</f>
        <v>0.86911122834751997</v>
      </c>
      <c r="J28" s="18">
        <f ca="1">J26/J27</f>
        <v>0.86361929606134213</v>
      </c>
      <c r="K28" s="18">
        <f ca="1">K26/K27</f>
        <v>0.95223844050550188</v>
      </c>
    </row>
    <row r="29" spans="1:11" ht="18.75" x14ac:dyDescent="0.35">
      <c r="A29" s="71" t="s">
        <v>60</v>
      </c>
      <c r="B29" s="72">
        <f>B8*(1-B9)</f>
        <v>2.4E-2</v>
      </c>
      <c r="C29" s="72">
        <f>C8*(1-C9)</f>
        <v>4.0500000000000008E-2</v>
      </c>
      <c r="D29" s="72">
        <f>D8*(1-D9)</f>
        <v>4.8600000000000004E-2</v>
      </c>
      <c r="E29" s="72">
        <f>E8*(1-E9)</f>
        <v>5.7400000000000007E-2</v>
      </c>
      <c r="G29" s="71" t="s">
        <v>60</v>
      </c>
      <c r="H29" s="72">
        <f>B8*(1-B9)</f>
        <v>2.4E-2</v>
      </c>
      <c r="I29" s="72">
        <f t="shared" ref="I29:K29" si="5">C8*(1-C9)</f>
        <v>4.0500000000000008E-2</v>
      </c>
      <c r="J29" s="72">
        <f t="shared" si="5"/>
        <v>4.8600000000000004E-2</v>
      </c>
      <c r="K29" s="72">
        <f t="shared" si="5"/>
        <v>5.7400000000000007E-2</v>
      </c>
    </row>
    <row r="30" spans="1:11" ht="17.25" x14ac:dyDescent="0.3">
      <c r="A30" s="138" t="s">
        <v>101</v>
      </c>
      <c r="B30" s="139">
        <f t="shared" ref="B30:D30" ca="1" si="6">$H$10+($H$10-B8)*B5/B35</f>
        <v>0.25633276978223707</v>
      </c>
      <c r="C30" s="139">
        <f t="shared" ca="1" si="6"/>
        <v>0.23691112283475202</v>
      </c>
      <c r="D30" s="139">
        <f t="shared" ca="1" si="6"/>
        <v>0.22772573664552079</v>
      </c>
      <c r="E30" s="139">
        <f ca="1">$H$10+($H$10-E8)*E5/E35</f>
        <v>0.22617907524044017</v>
      </c>
      <c r="G30" s="138" t="s">
        <v>108</v>
      </c>
      <c r="H30" s="139">
        <f ca="1">$H$7+$H$8*H24</f>
        <v>0.25633276978223707</v>
      </c>
      <c r="I30" s="139">
        <f t="shared" ref="I30:K30" ca="1" si="7">$H$7+$H$8*I24</f>
        <v>0.23691112283475196</v>
      </c>
      <c r="J30" s="139">
        <f t="shared" ca="1" si="7"/>
        <v>0.22772573664552082</v>
      </c>
      <c r="K30" s="139">
        <f t="shared" ca="1" si="7"/>
        <v>0.22617907524044012</v>
      </c>
    </row>
    <row r="31" spans="1:11" x14ac:dyDescent="0.25">
      <c r="A31" s="77" t="s">
        <v>63</v>
      </c>
      <c r="B31" s="104">
        <f ca="1">B29*B26+B30*B27</f>
        <v>0.14718115666897344</v>
      </c>
      <c r="C31" s="104">
        <f t="shared" ref="C31:E31" ca="1" si="8">C29*C26+C30*C27</f>
        <v>0.14558262957063234</v>
      </c>
      <c r="D31" s="104">
        <f t="shared" ca="1" si="8"/>
        <v>0.1447171291926915</v>
      </c>
      <c r="E31" s="104">
        <f t="shared" ca="1" si="8"/>
        <v>0.14385412964859837</v>
      </c>
      <c r="G31" s="77" t="s">
        <v>63</v>
      </c>
      <c r="H31" s="104">
        <f ca="1">H29*H26+H30*H27</f>
        <v>0.14718115666897344</v>
      </c>
      <c r="I31" s="104">
        <f t="shared" ref="I31:K31" ca="1" si="9">I29*I26+I30*I27</f>
        <v>0.14558262957063228</v>
      </c>
      <c r="J31" s="104">
        <f t="shared" ca="1" si="9"/>
        <v>0.1447171291926915</v>
      </c>
      <c r="K31" s="104">
        <f t="shared" ca="1" si="9"/>
        <v>0.14385412964859837</v>
      </c>
    </row>
    <row r="32" spans="1:11" x14ac:dyDescent="0.25">
      <c r="A32" s="17" t="s">
        <v>14</v>
      </c>
      <c r="B32" s="24">
        <f>B$15</f>
        <v>28</v>
      </c>
      <c r="C32" s="24">
        <f>C$15</f>
        <v>33.46</v>
      </c>
      <c r="D32" s="24">
        <f>D$15</f>
        <v>38.806000000000012</v>
      </c>
      <c r="E32" s="24">
        <f>E15</f>
        <v>49.017960000000009</v>
      </c>
      <c r="G32" s="17" t="s">
        <v>14</v>
      </c>
      <c r="H32" s="24">
        <f>B$15</f>
        <v>28</v>
      </c>
      <c r="I32" s="24">
        <f t="shared" ref="I32:K32" si="10">C$15</f>
        <v>33.46</v>
      </c>
      <c r="J32" s="24">
        <f t="shared" si="10"/>
        <v>38.806000000000012</v>
      </c>
      <c r="K32" s="24">
        <f t="shared" si="10"/>
        <v>49.017960000000009</v>
      </c>
    </row>
    <row r="33" spans="1:11" x14ac:dyDescent="0.25">
      <c r="A33" s="15" t="s">
        <v>5</v>
      </c>
      <c r="B33" s="16">
        <f ca="1">(C33+B32)/(1+B31)</f>
        <v>361.85054656036829</v>
      </c>
      <c r="C33" s="16">
        <f ca="1">(D33+C32)/(1+C31)</f>
        <v>387.10812854442349</v>
      </c>
      <c r="D33" s="16">
        <f ca="1">(E33+D32)/(1+D31)</f>
        <v>410.00434782608704</v>
      </c>
      <c r="E33" s="16">
        <f ca="1">E32/(E31-H11)</f>
        <v>430.53300000000007</v>
      </c>
      <c r="G33" s="15" t="s">
        <v>5</v>
      </c>
      <c r="H33" s="16">
        <f ca="1">(I33+H32)/(1+H31)</f>
        <v>361.85054656036834</v>
      </c>
      <c r="I33" s="16">
        <f ca="1">(J33+I32)/(1+I31)</f>
        <v>387.10812854442355</v>
      </c>
      <c r="J33" s="16">
        <f ca="1">(K33+J32)/(1+J31)</f>
        <v>410.00434782608716</v>
      </c>
      <c r="K33" s="16">
        <f ca="1">K32/(K31-H11)</f>
        <v>430.53300000000007</v>
      </c>
    </row>
    <row r="34" spans="1:11" x14ac:dyDescent="0.25">
      <c r="A34" s="17" t="s">
        <v>38</v>
      </c>
      <c r="B34" s="108">
        <f>B5</f>
        <v>170</v>
      </c>
      <c r="C34" s="108">
        <f>C5</f>
        <v>180</v>
      </c>
      <c r="D34" s="108">
        <f>D5</f>
        <v>190</v>
      </c>
      <c r="E34" s="108">
        <f>E5</f>
        <v>210</v>
      </c>
      <c r="G34" s="17" t="s">
        <v>38</v>
      </c>
      <c r="H34" s="108">
        <f>B5</f>
        <v>170</v>
      </c>
      <c r="I34" s="108">
        <f t="shared" ref="I34:K34" si="11">C5</f>
        <v>180</v>
      </c>
      <c r="J34" s="108">
        <f t="shared" si="11"/>
        <v>190</v>
      </c>
      <c r="K34" s="108">
        <f t="shared" si="11"/>
        <v>210</v>
      </c>
    </row>
    <row r="35" spans="1:11" x14ac:dyDescent="0.25">
      <c r="A35" s="80" t="s">
        <v>49</v>
      </c>
      <c r="B35" s="81">
        <f ca="1">B33-B34</f>
        <v>191.85054656036829</v>
      </c>
      <c r="C35" s="37">
        <f t="shared" ref="C35:E35" ca="1" si="12">C33-C34</f>
        <v>207.10812854442349</v>
      </c>
      <c r="D35" s="37">
        <f t="shared" ca="1" si="12"/>
        <v>220.00434782608704</v>
      </c>
      <c r="E35" s="37">
        <f t="shared" ca="1" si="12"/>
        <v>220.53300000000007</v>
      </c>
      <c r="G35" s="80" t="s">
        <v>49</v>
      </c>
      <c r="H35" s="81">
        <f ca="1">H33-H34</f>
        <v>191.85054656036834</v>
      </c>
      <c r="I35" s="37">
        <f t="shared" ref="I35:K35" ca="1" si="13">I33-I34</f>
        <v>207.10812854442355</v>
      </c>
      <c r="J35" s="37">
        <f t="shared" ca="1" si="13"/>
        <v>220.00434782608716</v>
      </c>
      <c r="K35" s="37">
        <f t="shared" ca="1" si="13"/>
        <v>220.53300000000007</v>
      </c>
    </row>
    <row r="36" spans="1:11" ht="18.75" x14ac:dyDescent="0.35">
      <c r="A36" s="13" t="s">
        <v>46</v>
      </c>
      <c r="B36" s="32">
        <f ca="1">B34/B33</f>
        <v>0.46980722183775547</v>
      </c>
      <c r="C36" s="32">
        <f t="shared" ref="C36:E36" ca="1" si="14">C34/C33</f>
        <v>0.46498636098607182</v>
      </c>
      <c r="D36" s="32">
        <f t="shared" ca="1" si="14"/>
        <v>0.46340971993934305</v>
      </c>
      <c r="E36" s="32">
        <f t="shared" ca="1" si="14"/>
        <v>0.48776748820647886</v>
      </c>
      <c r="G36" s="13" t="s">
        <v>46</v>
      </c>
      <c r="H36" s="32">
        <f ca="1">H34/H33</f>
        <v>0.46980722183775536</v>
      </c>
      <c r="I36" s="32">
        <f t="shared" ref="I36:K36" ca="1" si="15">I34/I33</f>
        <v>0.46498636098607177</v>
      </c>
      <c r="J36" s="32">
        <f t="shared" ca="1" si="15"/>
        <v>0.46340971993934293</v>
      </c>
      <c r="K36" s="32">
        <f t="shared" ca="1" si="15"/>
        <v>0.48776748820647886</v>
      </c>
    </row>
    <row r="38" spans="1:11" x14ac:dyDescent="0.25">
      <c r="A38" s="57" t="s">
        <v>67</v>
      </c>
      <c r="G38" s="57" t="s">
        <v>67</v>
      </c>
    </row>
    <row r="39" spans="1:11" x14ac:dyDescent="0.25">
      <c r="A39" s="17" t="s">
        <v>6</v>
      </c>
      <c r="B39" s="24">
        <f>B18</f>
        <v>33.92</v>
      </c>
      <c r="C39" s="24">
        <f t="shared" ref="C39:E39" si="16">C18</f>
        <v>36.17</v>
      </c>
      <c r="D39" s="24">
        <f t="shared" si="16"/>
        <v>49.57200000000001</v>
      </c>
      <c r="E39" s="24">
        <f t="shared" si="16"/>
        <v>43.263960000000004</v>
      </c>
      <c r="G39" s="17" t="s">
        <v>6</v>
      </c>
      <c r="H39" s="24">
        <f>B18</f>
        <v>33.92</v>
      </c>
      <c r="I39" s="24">
        <f t="shared" ref="I39:K39" si="17">C18</f>
        <v>36.17</v>
      </c>
      <c r="J39" s="24">
        <f t="shared" si="17"/>
        <v>49.57200000000001</v>
      </c>
      <c r="K39" s="24">
        <f t="shared" si="17"/>
        <v>43.263960000000004</v>
      </c>
    </row>
    <row r="40" spans="1:11" ht="17.25" x14ac:dyDescent="0.3">
      <c r="A40" s="97" t="s">
        <v>62</v>
      </c>
      <c r="B40" s="103">
        <f ca="1">B30</f>
        <v>0.25633276978223707</v>
      </c>
      <c r="C40" s="103">
        <f ca="1">C30</f>
        <v>0.23691112283475202</v>
      </c>
      <c r="D40" s="103">
        <f ca="1">D30</f>
        <v>0.22772573664552079</v>
      </c>
      <c r="E40" s="103">
        <f ca="1">E30</f>
        <v>0.22617907524044017</v>
      </c>
      <c r="G40" s="97" t="s">
        <v>111</v>
      </c>
      <c r="H40" s="103">
        <f ca="1">$H$7+$H$8*H24</f>
        <v>0.25633276978223707</v>
      </c>
      <c r="I40" s="103">
        <f t="shared" ref="I40:K40" ca="1" si="18">$H$7+$H$8*I24</f>
        <v>0.23691112283475196</v>
      </c>
      <c r="J40" s="103">
        <f t="shared" ca="1" si="18"/>
        <v>0.22772573664552082</v>
      </c>
      <c r="K40" s="103">
        <f t="shared" ca="1" si="18"/>
        <v>0.22617907524044012</v>
      </c>
    </row>
    <row r="41" spans="1:11" x14ac:dyDescent="0.25">
      <c r="A41" s="83" t="s">
        <v>49</v>
      </c>
      <c r="B41" s="106">
        <f ca="1">(C41+B39)/(1+B40)</f>
        <v>191.85054656036829</v>
      </c>
      <c r="C41" s="107">
        <f ca="1">(D41+C39)/(1+C40)</f>
        <v>207.10812854442352</v>
      </c>
      <c r="D41" s="107">
        <f ca="1">(E41+D39)/(1+D40)</f>
        <v>220.00434782608704</v>
      </c>
      <c r="E41" s="107">
        <f ca="1">E39/(E40-H11)</f>
        <v>220.53300000000004</v>
      </c>
      <c r="G41" s="83" t="s">
        <v>49</v>
      </c>
      <c r="H41" s="106">
        <f t="shared" ref="H41:I41" ca="1" si="19">(I41+H39)/(1+H40)</f>
        <v>191.85054656036829</v>
      </c>
      <c r="I41" s="107">
        <f t="shared" ca="1" si="19"/>
        <v>207.10812854442352</v>
      </c>
      <c r="J41" s="107">
        <f ca="1">(K41+J39)/(1+J40)</f>
        <v>220.00434782608707</v>
      </c>
      <c r="K41" s="107">
        <f ca="1">K39/(K40-H11)</f>
        <v>220.53300000000013</v>
      </c>
    </row>
    <row r="42" spans="1:11" x14ac:dyDescent="0.25">
      <c r="A42" s="7"/>
      <c r="G42" s="7"/>
    </row>
    <row r="43" spans="1:11" x14ac:dyDescent="0.25">
      <c r="A43" s="57" t="s">
        <v>64</v>
      </c>
      <c r="B43" s="3"/>
      <c r="C43" s="3"/>
      <c r="D43" s="3"/>
      <c r="G43" s="166" t="s">
        <v>147</v>
      </c>
      <c r="H43" s="166"/>
      <c r="I43" s="166"/>
      <c r="J43" s="166"/>
      <c r="K43" s="166"/>
    </row>
    <row r="44" spans="1:11" ht="18.75" x14ac:dyDescent="0.35">
      <c r="A44" s="75" t="s">
        <v>53</v>
      </c>
      <c r="B44" s="76">
        <f>$H$10</f>
        <v>0.15</v>
      </c>
      <c r="C44" s="76">
        <f>$H$10</f>
        <v>0.15</v>
      </c>
      <c r="D44" s="76">
        <f>$H$10</f>
        <v>0.15</v>
      </c>
      <c r="E44" s="76">
        <f>$H$10</f>
        <v>0.15</v>
      </c>
      <c r="G44" s="166" t="s">
        <v>148</v>
      </c>
      <c r="H44" s="166"/>
      <c r="I44" s="166"/>
      <c r="J44" s="166"/>
      <c r="K44" s="166"/>
    </row>
    <row r="45" spans="1:11" x14ac:dyDescent="0.25">
      <c r="A45" s="12" t="s">
        <v>14</v>
      </c>
      <c r="B45" s="21">
        <f>B15</f>
        <v>28</v>
      </c>
      <c r="C45" s="21">
        <f t="shared" ref="C45:E45" si="20">C15</f>
        <v>33.46</v>
      </c>
      <c r="D45" s="21">
        <f t="shared" si="20"/>
        <v>38.806000000000012</v>
      </c>
      <c r="E45" s="21">
        <f t="shared" si="20"/>
        <v>49.017960000000009</v>
      </c>
    </row>
    <row r="46" spans="1:11" x14ac:dyDescent="0.25">
      <c r="A46" s="86" t="s">
        <v>51</v>
      </c>
      <c r="B46" s="21">
        <f>(C46+B45)/(1+B44)</f>
        <v>343.74817128297866</v>
      </c>
      <c r="C46" s="21">
        <f>(D46+C45)/(1+C44)</f>
        <v>367.31039697542542</v>
      </c>
      <c r="D46" s="21">
        <f>(E46+D45)/(1+D44)</f>
        <v>388.94695652173925</v>
      </c>
      <c r="E46" s="10">
        <f>E45/(E44-$H$11)</f>
        <v>408.48300000000012</v>
      </c>
    </row>
    <row r="47" spans="1:11" ht="18.75" x14ac:dyDescent="0.35">
      <c r="A47" s="82" t="s">
        <v>52</v>
      </c>
      <c r="B47" s="29">
        <f>B8</f>
        <v>0.03</v>
      </c>
      <c r="C47" s="29">
        <f>C8</f>
        <v>0.05</v>
      </c>
      <c r="D47" s="29">
        <f>D8</f>
        <v>0.06</v>
      </c>
      <c r="E47" s="29">
        <f>E8</f>
        <v>7.0000000000000007E-2</v>
      </c>
    </row>
    <row r="48" spans="1:11" x14ac:dyDescent="0.25">
      <c r="A48" s="82" t="s">
        <v>50</v>
      </c>
      <c r="B48" s="21">
        <f>B8*B5*B9</f>
        <v>1.02</v>
      </c>
      <c r="C48" s="21">
        <f>C8*C5*C9</f>
        <v>1.71</v>
      </c>
      <c r="D48" s="21">
        <f>D8*D5*D9</f>
        <v>2.1659999999999999</v>
      </c>
      <c r="E48" s="21">
        <f>E8*E5*E9</f>
        <v>2.6459999999999999</v>
      </c>
    </row>
    <row r="49" spans="1:5" x14ac:dyDescent="0.25">
      <c r="A49" s="163" t="s">
        <v>136</v>
      </c>
      <c r="B49" s="164">
        <f>$H$10</f>
        <v>0.15</v>
      </c>
      <c r="C49" s="164">
        <f t="shared" ref="C49:E49" si="21">$H$10</f>
        <v>0.15</v>
      </c>
      <c r="D49" s="164">
        <f t="shared" si="21"/>
        <v>0.15</v>
      </c>
      <c r="E49" s="164">
        <f t="shared" si="21"/>
        <v>0.15</v>
      </c>
    </row>
    <row r="50" spans="1:5" x14ac:dyDescent="0.25">
      <c r="A50" s="13" t="s">
        <v>137</v>
      </c>
      <c r="B50" s="14">
        <f t="shared" ref="B50:C50" si="22">(C50+B48)/(1+B49)</f>
        <v>18.102375277389665</v>
      </c>
      <c r="C50" s="14">
        <f t="shared" si="22"/>
        <v>19.797731568998113</v>
      </c>
      <c r="D50" s="14">
        <f>(E50+D48)/(1+D49)</f>
        <v>21.057391304347828</v>
      </c>
      <c r="E50" s="14">
        <f>E48/(E49-$H$11)</f>
        <v>22.05</v>
      </c>
    </row>
    <row r="51" spans="1:5" x14ac:dyDescent="0.25">
      <c r="A51" s="35" t="s">
        <v>9</v>
      </c>
      <c r="B51" s="36">
        <f>B46+B50</f>
        <v>361.85054656036834</v>
      </c>
      <c r="C51" s="36">
        <f>C46+C50</f>
        <v>387.10812854442355</v>
      </c>
      <c r="D51" s="36">
        <f>D46+D50</f>
        <v>410.0043478260871</v>
      </c>
      <c r="E51" s="36">
        <f>E46+E50</f>
        <v>430.53300000000013</v>
      </c>
    </row>
    <row r="52" spans="1:5" x14ac:dyDescent="0.25">
      <c r="A52" s="40" t="s">
        <v>2</v>
      </c>
      <c r="B52" s="41">
        <f>B5</f>
        <v>170</v>
      </c>
      <c r="C52" s="41">
        <f>C5</f>
        <v>180</v>
      </c>
      <c r="D52" s="41">
        <f>D5</f>
        <v>190</v>
      </c>
      <c r="E52" s="41">
        <f>E5</f>
        <v>210</v>
      </c>
    </row>
    <row r="53" spans="1:5" x14ac:dyDescent="0.25">
      <c r="A53" s="83" t="s">
        <v>49</v>
      </c>
      <c r="B53" s="105">
        <f>B51-B52</f>
        <v>191.85054656036834</v>
      </c>
      <c r="C53" s="85">
        <f t="shared" ref="C53:E53" si="23">C51-C52</f>
        <v>207.10812854442355</v>
      </c>
      <c r="D53" s="85">
        <f t="shared" si="23"/>
        <v>220.0043478260871</v>
      </c>
      <c r="E53" s="85">
        <f t="shared" si="23"/>
        <v>220.53300000000013</v>
      </c>
    </row>
    <row r="54" spans="1:5" x14ac:dyDescent="0.25">
      <c r="B54" s="8"/>
      <c r="C54" s="1"/>
      <c r="D54" s="1"/>
      <c r="E54" s="8"/>
    </row>
    <row r="58" spans="1:5" x14ac:dyDescent="0.25">
      <c r="A58" s="7"/>
    </row>
    <row r="59" spans="1:5" x14ac:dyDescent="0.25">
      <c r="A59" s="7"/>
    </row>
    <row r="60" spans="1:5" x14ac:dyDescent="0.25">
      <c r="A60" s="7"/>
    </row>
    <row r="61" spans="1:5" x14ac:dyDescent="0.25">
      <c r="A61" s="7"/>
    </row>
    <row r="62" spans="1:5" x14ac:dyDescent="0.25">
      <c r="A62" s="7"/>
    </row>
    <row r="63" spans="1:5" x14ac:dyDescent="0.25">
      <c r="A63" s="7"/>
    </row>
    <row r="64" spans="1:5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</sheetData>
  <hyperlinks>
    <hyperlink ref="J1" location="Úvod!A31" display="Skok na obsah" xr:uid="{94A433A9-E84D-4F3D-A1EB-2909D433B86D}"/>
  </hyperlinks>
  <printOptions gridLinesSet="0"/>
  <pageMargins left="0.78740157480314965" right="0.78740157480314965" top="0.98425196850393704" bottom="0.78740157480314965" header="0.51181102362204722" footer="0.51181102362204722"/>
  <pageSetup paperSize="9" scale="50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rowBreaks count="1" manualBreakCount="1">
    <brk id="49" max="65535" man="1"/>
  </rowBreaks>
  <drawing r:id="rId2"/>
  <legacyDrawing r:id="rId3"/>
  <oleObjects>
    <mc:AlternateContent xmlns:mc="http://schemas.openxmlformats.org/markup-compatibility/2006">
      <mc:Choice Requires="x14">
        <oleObject progId="Equation.3" shapeId="88066" r:id="rId4">
          <objectPr defaultSize="0" autoPict="0" r:id="rId5">
            <anchor moveWithCells="1" sizeWithCells="1">
              <from>
                <xdr:col>11</xdr:col>
                <xdr:colOff>142875</xdr:colOff>
                <xdr:row>22</xdr:row>
                <xdr:rowOff>85725</xdr:rowOff>
              </from>
              <to>
                <xdr:col>14</xdr:col>
                <xdr:colOff>9525</xdr:colOff>
                <xdr:row>24</xdr:row>
                <xdr:rowOff>104775</xdr:rowOff>
              </to>
            </anchor>
          </objectPr>
        </oleObject>
      </mc:Choice>
      <mc:Fallback>
        <oleObject progId="Equation.3" shapeId="88066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2B21-95DE-4CBB-9D2E-1F214ADF6E0C}">
  <sheetPr>
    <pageSetUpPr fitToPage="1"/>
  </sheetPr>
  <dimension ref="A1:M73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22.625" customWidth="1"/>
  </cols>
  <sheetData>
    <row r="1" spans="1:13" ht="18.75" x14ac:dyDescent="0.3">
      <c r="A1" s="53" t="s">
        <v>139</v>
      </c>
      <c r="B1" s="54" t="s">
        <v>140</v>
      </c>
      <c r="M1" s="172" t="s">
        <v>164</v>
      </c>
    </row>
    <row r="2" spans="1:13" x14ac:dyDescent="0.25">
      <c r="B2" s="54"/>
    </row>
    <row r="3" spans="1:13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G3" s="55" t="s">
        <v>0</v>
      </c>
      <c r="H3" s="56">
        <f>'1-MM, cílová struktura'!$B$3</f>
        <v>2023</v>
      </c>
      <c r="I3" s="56">
        <f>H3+1</f>
        <v>2024</v>
      </c>
      <c r="J3" s="56">
        <f>I3+1</f>
        <v>2025</v>
      </c>
      <c r="K3" s="56" t="s">
        <v>1</v>
      </c>
    </row>
    <row r="4" spans="1:13" ht="17.25" customHeight="1" x14ac:dyDescent="0.25">
      <c r="A4" s="57" t="s">
        <v>100</v>
      </c>
      <c r="G4" s="1" t="s">
        <v>37</v>
      </c>
    </row>
    <row r="5" spans="1:13" x14ac:dyDescent="0.25">
      <c r="A5" s="17" t="s">
        <v>38</v>
      </c>
      <c r="B5" s="91">
        <f>'3 -MM, růst, iterace'!B5</f>
        <v>170</v>
      </c>
      <c r="C5" s="91">
        <f>'3 -MM, růst, iterace'!C5</f>
        <v>180</v>
      </c>
      <c r="D5" s="91">
        <f>'3 -MM, růst, iterace'!D5</f>
        <v>190</v>
      </c>
      <c r="E5" s="91">
        <f>'3 -MM, růst, iterace'!E5</f>
        <v>210</v>
      </c>
      <c r="G5" s="65" t="s">
        <v>7</v>
      </c>
      <c r="H5" s="165" t="s">
        <v>138</v>
      </c>
    </row>
    <row r="6" spans="1:13" ht="18.75" x14ac:dyDescent="0.35">
      <c r="A6" s="12" t="s">
        <v>39</v>
      </c>
      <c r="B6" s="92">
        <f>'1-MM, cílová struktura'!B6</f>
        <v>180</v>
      </c>
      <c r="C6" s="21">
        <f>'1-MM, cílová struktura'!C6</f>
        <v>190</v>
      </c>
      <c r="D6" s="21">
        <f>'1-MM, cílová struktura'!D6</f>
        <v>200</v>
      </c>
      <c r="E6" s="21">
        <f>'1-MM, cílová struktura'!E6</f>
        <v>200</v>
      </c>
      <c r="G6" s="65" t="s">
        <v>34</v>
      </c>
      <c r="H6" s="165" t="s">
        <v>138</v>
      </c>
      <c r="K6" s="140"/>
    </row>
    <row r="7" spans="1:13" ht="18.75" x14ac:dyDescent="0.35">
      <c r="A7" s="30" t="s">
        <v>40</v>
      </c>
      <c r="B7" s="26">
        <f>B5+B6</f>
        <v>350</v>
      </c>
      <c r="C7" s="31">
        <f>C5+C6</f>
        <v>370</v>
      </c>
      <c r="D7" s="31">
        <f>D5+D6</f>
        <v>390</v>
      </c>
      <c r="E7" s="31">
        <f>E5+E6</f>
        <v>410</v>
      </c>
      <c r="G7" s="60" t="s">
        <v>103</v>
      </c>
      <c r="H7" s="96">
        <f>'10a-Beta - stabilní CK'!H7</f>
        <v>0.03</v>
      </c>
      <c r="J7" s="141"/>
      <c r="K7" s="142"/>
    </row>
    <row r="8" spans="1:13" ht="18.75" x14ac:dyDescent="0.35">
      <c r="A8" s="12" t="s">
        <v>42</v>
      </c>
      <c r="B8" s="161">
        <f>'3 -MM, růst, iterace'!B8</f>
        <v>0.03</v>
      </c>
      <c r="C8" s="161">
        <f>'3 -MM, růst, iterace'!C8</f>
        <v>0.05</v>
      </c>
      <c r="D8" s="161">
        <f>'3 -MM, růst, iterace'!D8</f>
        <v>0.06</v>
      </c>
      <c r="E8" s="161">
        <f>'3 -MM, růst, iterace'!E8</f>
        <v>7.0000000000000007E-2</v>
      </c>
      <c r="G8" s="60" t="s">
        <v>102</v>
      </c>
      <c r="H8" s="96">
        <f>'10a-Beta - stabilní CK'!H8</f>
        <v>0.12</v>
      </c>
      <c r="J8" s="144"/>
      <c r="K8" s="143"/>
    </row>
    <row r="9" spans="1:13" ht="18.75" x14ac:dyDescent="0.35">
      <c r="A9" s="13" t="s">
        <v>57</v>
      </c>
      <c r="B9" s="162">
        <f>'3 -MM, růst, iterace'!B9</f>
        <v>0.2</v>
      </c>
      <c r="C9" s="162">
        <f>'3 -MM, růst, iterace'!C9</f>
        <v>0.19</v>
      </c>
      <c r="D9" s="162">
        <f>'3 -MM, růst, iterace'!D9</f>
        <v>0.19</v>
      </c>
      <c r="E9" s="162">
        <f>'3 -MM, růst, iterace'!E9</f>
        <v>0.18</v>
      </c>
      <c r="G9" s="60" t="s">
        <v>104</v>
      </c>
      <c r="H9" s="146">
        <f>'10a-Beta - stabilní CK'!H9</f>
        <v>1</v>
      </c>
      <c r="J9" s="142"/>
      <c r="K9" s="141"/>
    </row>
    <row r="10" spans="1:13" ht="18.75" x14ac:dyDescent="0.35">
      <c r="A10" s="9" t="s">
        <v>15</v>
      </c>
      <c r="B10" s="90">
        <f>'3 -MM, růst, iterace'!B10</f>
        <v>60</v>
      </c>
      <c r="C10" s="90">
        <f>'3 -MM, růst, iterace'!C10</f>
        <v>66</v>
      </c>
      <c r="D10" s="90">
        <f>'3 -MM, růst, iterace'!D10</f>
        <v>72.600000000000009</v>
      </c>
      <c r="E10" s="90">
        <f>'3 -MM, růst, iterace'!E10</f>
        <v>74.778000000000006</v>
      </c>
      <c r="G10" s="60" t="s">
        <v>105</v>
      </c>
      <c r="H10" s="96">
        <f>H7+H8*H9</f>
        <v>0.15</v>
      </c>
      <c r="I10" s="147"/>
    </row>
    <row r="11" spans="1:13" x14ac:dyDescent="0.25">
      <c r="A11" s="1"/>
      <c r="B11" s="38"/>
      <c r="C11" s="38"/>
      <c r="D11" s="38"/>
      <c r="E11" s="38"/>
      <c r="G11" s="65" t="s">
        <v>36</v>
      </c>
      <c r="H11" s="93">
        <f>'3 -MM, růst, iterace'!H7</f>
        <v>0.03</v>
      </c>
    </row>
    <row r="12" spans="1:13" x14ac:dyDescent="0.25">
      <c r="A12" s="57" t="s">
        <v>61</v>
      </c>
    </row>
    <row r="13" spans="1:13" x14ac:dyDescent="0.25">
      <c r="A13" s="17" t="s">
        <v>16</v>
      </c>
      <c r="B13" s="24">
        <f>B10*(1-B9)</f>
        <v>48</v>
      </c>
      <c r="C13" s="24">
        <f>C10*(1-C9)</f>
        <v>53.46</v>
      </c>
      <c r="D13" s="24">
        <f>D10*(1-D9)</f>
        <v>58.806000000000012</v>
      </c>
      <c r="E13" s="24">
        <f>E10*(1-E9)</f>
        <v>61.317960000000006</v>
      </c>
      <c r="H13" s="42"/>
    </row>
    <row r="14" spans="1:13" x14ac:dyDescent="0.25">
      <c r="A14" s="13" t="s">
        <v>41</v>
      </c>
      <c r="B14" s="14">
        <f>-(C7-B7)</f>
        <v>-20</v>
      </c>
      <c r="C14" s="14">
        <f>-(D7-C7)</f>
        <v>-20</v>
      </c>
      <c r="D14" s="14">
        <f>-(E7-D7)</f>
        <v>-20</v>
      </c>
      <c r="E14" s="14">
        <f>-E7*H11</f>
        <v>-12.299999999999999</v>
      </c>
    </row>
    <row r="15" spans="1:13" x14ac:dyDescent="0.25">
      <c r="A15" s="30" t="s">
        <v>14</v>
      </c>
      <c r="B15" s="31">
        <f>B13+B14</f>
        <v>28</v>
      </c>
      <c r="C15" s="31">
        <f>C13+C14</f>
        <v>33.46</v>
      </c>
      <c r="D15" s="31">
        <f>D13+D14</f>
        <v>38.806000000000012</v>
      </c>
      <c r="E15" s="31">
        <f>E13+E14</f>
        <v>49.017960000000009</v>
      </c>
    </row>
    <row r="16" spans="1:13" ht="18.75" x14ac:dyDescent="0.35">
      <c r="A16" s="82" t="s">
        <v>48</v>
      </c>
      <c r="B16" s="10">
        <f>-B8*B5*(1-B9)</f>
        <v>-4.08</v>
      </c>
      <c r="C16" s="10">
        <f>-C8*C5*(1-C9)</f>
        <v>-7.2900000000000009</v>
      </c>
      <c r="D16" s="10">
        <f>-D8*D5*(1-D9)</f>
        <v>-9.2340000000000018</v>
      </c>
      <c r="E16" s="10">
        <f>-E8*E5*(1-E9)</f>
        <v>-12.054000000000002</v>
      </c>
    </row>
    <row r="17" spans="1:11" x14ac:dyDescent="0.25">
      <c r="A17" s="25" t="s">
        <v>11</v>
      </c>
      <c r="B17" s="21">
        <f>C5-B5</f>
        <v>10</v>
      </c>
      <c r="C17" s="21">
        <f>D5-C5</f>
        <v>10</v>
      </c>
      <c r="D17" s="21">
        <f>E5-D5</f>
        <v>20</v>
      </c>
      <c r="E17" s="21">
        <f>E5*H11</f>
        <v>6.3</v>
      </c>
    </row>
    <row r="18" spans="1:11" x14ac:dyDescent="0.25">
      <c r="A18" s="9" t="s">
        <v>6</v>
      </c>
      <c r="B18" s="90">
        <f>SUM(B15:B17)</f>
        <v>33.92</v>
      </c>
      <c r="C18" s="90">
        <f t="shared" ref="C18:E18" si="0">SUM(C15:C17)</f>
        <v>36.17</v>
      </c>
      <c r="D18" s="90">
        <f t="shared" si="0"/>
        <v>49.57200000000001</v>
      </c>
      <c r="E18" s="90">
        <f t="shared" si="0"/>
        <v>43.263960000000004</v>
      </c>
    </row>
    <row r="19" spans="1:11" x14ac:dyDescent="0.25">
      <c r="A19" s="1"/>
      <c r="B19" s="38"/>
      <c r="C19" s="38"/>
      <c r="D19" s="38"/>
      <c r="E19" s="38"/>
    </row>
    <row r="20" spans="1:11" x14ac:dyDescent="0.25">
      <c r="A20" s="137" t="s">
        <v>144</v>
      </c>
      <c r="B20" s="38"/>
      <c r="C20" s="38"/>
      <c r="D20" s="38"/>
      <c r="E20" s="44"/>
      <c r="G20" s="137" t="s">
        <v>106</v>
      </c>
    </row>
    <row r="21" spans="1:11" x14ac:dyDescent="0.25">
      <c r="A21" s="54" t="s">
        <v>141</v>
      </c>
      <c r="B21" s="38"/>
      <c r="C21" s="38"/>
      <c r="D21" s="38"/>
      <c r="E21" s="44"/>
      <c r="G21" s="57" t="s">
        <v>109</v>
      </c>
    </row>
    <row r="22" spans="1:11" ht="18.75" x14ac:dyDescent="0.35">
      <c r="A22" s="137" t="s">
        <v>151</v>
      </c>
      <c r="B22" s="38"/>
      <c r="C22" s="38"/>
      <c r="D22" s="38"/>
      <c r="E22" s="44"/>
      <c r="G22" s="153" t="s">
        <v>122</v>
      </c>
      <c r="H22" s="91">
        <f>(B8-$H$7)/$H$8</f>
        <v>0</v>
      </c>
      <c r="I22" s="91">
        <f t="shared" ref="I22:K22" si="1">(C8-$H$7)/$H$8</f>
        <v>0.16666666666666671</v>
      </c>
      <c r="J22" s="91">
        <f t="shared" si="1"/>
        <v>0.25</v>
      </c>
      <c r="K22" s="91">
        <f t="shared" si="1"/>
        <v>0.33333333333333343</v>
      </c>
    </row>
    <row r="23" spans="1:11" ht="18.75" x14ac:dyDescent="0.35">
      <c r="A23" s="137"/>
      <c r="B23" s="38"/>
      <c r="C23" s="38"/>
      <c r="D23" s="38"/>
      <c r="E23" s="44"/>
      <c r="G23" s="73" t="s">
        <v>145</v>
      </c>
      <c r="H23" s="92">
        <f>(B49-$H$7)/$H$8</f>
        <v>0.16666666666666671</v>
      </c>
      <c r="I23" s="92">
        <f t="shared" ref="I23:K23" si="2">(C49-$H$7)/$H$8</f>
        <v>0.58333333333333337</v>
      </c>
      <c r="J23" s="92">
        <f t="shared" si="2"/>
        <v>0.66666666666666674</v>
      </c>
      <c r="K23" s="92">
        <f t="shared" si="2"/>
        <v>0.75</v>
      </c>
    </row>
    <row r="24" spans="1:11" ht="17.25" x14ac:dyDescent="0.3">
      <c r="A24" s="137"/>
      <c r="B24" s="38"/>
      <c r="C24" s="38"/>
      <c r="D24" s="38"/>
      <c r="E24" s="44"/>
      <c r="G24" s="138" t="s">
        <v>110</v>
      </c>
      <c r="H24" s="150">
        <f t="shared" ref="H24:J24" ca="1" si="3">$H$9+($H$9-H22)*B5/H35-($H$9-H23)*B50/H35</f>
        <v>1.7341778566175554</v>
      </c>
      <c r="I24" s="150">
        <f t="shared" ca="1" si="3"/>
        <v>1.6454078036211877</v>
      </c>
      <c r="J24" s="150">
        <f t="shared" ca="1" si="3"/>
        <v>1.5850027091537491</v>
      </c>
      <c r="K24" s="150">
        <f ca="1">$H$9+($H$9-K22)*E5/K35-($H$9-K23)*E50/K35</f>
        <v>1.5820969532611024</v>
      </c>
    </row>
    <row r="25" spans="1:11" x14ac:dyDescent="0.25">
      <c r="A25" s="57" t="s">
        <v>59</v>
      </c>
      <c r="E25" s="2"/>
      <c r="G25" s="57" t="s">
        <v>59</v>
      </c>
    </row>
    <row r="26" spans="1:11" x14ac:dyDescent="0.25">
      <c r="A26" s="71" t="s">
        <v>58</v>
      </c>
      <c r="B26" s="19">
        <f t="shared" ref="B26:D26" ca="1" si="4">B36</f>
        <v>0.45844144196934355</v>
      </c>
      <c r="C26" s="19">
        <f t="shared" ca="1" si="4"/>
        <v>0.45602231935158583</v>
      </c>
      <c r="D26" s="19">
        <f t="shared" ca="1" si="4"/>
        <v>0.4552154332587281</v>
      </c>
      <c r="E26" s="19">
        <f ca="1">E36</f>
        <v>0.47958016182404878</v>
      </c>
      <c r="G26" s="71" t="s">
        <v>58</v>
      </c>
      <c r="H26" s="19">
        <f t="shared" ref="H26:J26" ca="1" si="5">H36</f>
        <v>0.45844144196934344</v>
      </c>
      <c r="I26" s="19">
        <f t="shared" ca="1" si="5"/>
        <v>0.45602231935158566</v>
      </c>
      <c r="J26" s="19">
        <f t="shared" ca="1" si="5"/>
        <v>0.45521543325872799</v>
      </c>
      <c r="K26" s="19">
        <f ca="1">K36</f>
        <v>0.47958016182404867</v>
      </c>
    </row>
    <row r="27" spans="1:11" x14ac:dyDescent="0.25">
      <c r="A27" s="73" t="s">
        <v>10</v>
      </c>
      <c r="B27" s="101">
        <f ca="1">(1-B26)</f>
        <v>0.54155855803065645</v>
      </c>
      <c r="C27" s="20">
        <f ca="1">(1-C26)</f>
        <v>0.54397768064841423</v>
      </c>
      <c r="D27" s="20">
        <f ca="1">(1-D26)</f>
        <v>0.54478456674127185</v>
      </c>
      <c r="E27" s="20">
        <f ca="1">(1-E26)</f>
        <v>0.52041983817595128</v>
      </c>
      <c r="G27" s="73" t="s">
        <v>10</v>
      </c>
      <c r="H27" s="101">
        <f ca="1">(1-H26)</f>
        <v>0.54155855803065656</v>
      </c>
      <c r="I27" s="20">
        <f ca="1">(1-I26)</f>
        <v>0.54397768064841434</v>
      </c>
      <c r="J27" s="20">
        <f ca="1">(1-J26)</f>
        <v>0.54478456674127207</v>
      </c>
      <c r="K27" s="20">
        <f ca="1">(1-K26)</f>
        <v>0.52041983817595128</v>
      </c>
    </row>
    <row r="28" spans="1:11" x14ac:dyDescent="0.25">
      <c r="A28" s="73" t="s">
        <v>13</v>
      </c>
      <c r="B28" s="102">
        <f ca="1">B26/B27</f>
        <v>0.84652238464559948</v>
      </c>
      <c r="C28" s="18">
        <f ca="1">C26/C27</f>
        <v>0.83831071673384328</v>
      </c>
      <c r="D28" s="18">
        <f ca="1">D26/D27</f>
        <v>0.83558797559498088</v>
      </c>
      <c r="E28" s="18">
        <f ca="1">E26/E27</f>
        <v>0.9215255196745693</v>
      </c>
      <c r="G28" s="73" t="s">
        <v>13</v>
      </c>
      <c r="H28" s="102">
        <f ca="1">H26/H27</f>
        <v>0.84652238464559904</v>
      </c>
      <c r="I28" s="18">
        <f ca="1">I26/I27</f>
        <v>0.83831071673384272</v>
      </c>
      <c r="J28" s="18">
        <f ca="1">J26/J27</f>
        <v>0.83558797559498033</v>
      </c>
      <c r="K28" s="18">
        <f ca="1">K26/K27</f>
        <v>0.92152551967456908</v>
      </c>
    </row>
    <row r="29" spans="1:11" ht="18.75" x14ac:dyDescent="0.35">
      <c r="A29" s="71" t="s">
        <v>60</v>
      </c>
      <c r="B29" s="72">
        <f>B8*(1-B9)</f>
        <v>2.4E-2</v>
      </c>
      <c r="C29" s="72">
        <f>C8*(1-C9)</f>
        <v>4.0500000000000008E-2</v>
      </c>
      <c r="D29" s="72">
        <f>D8*(1-D9)</f>
        <v>4.8600000000000004E-2</v>
      </c>
      <c r="E29" s="72">
        <f>E8*(1-E9)</f>
        <v>5.7400000000000007E-2</v>
      </c>
      <c r="G29" s="71" t="s">
        <v>60</v>
      </c>
      <c r="H29" s="72">
        <f>B8*(1-B9)</f>
        <v>2.4E-2</v>
      </c>
      <c r="I29" s="72">
        <f t="shared" ref="I29:K29" si="6">C8*(1-C9)</f>
        <v>4.0500000000000008E-2</v>
      </c>
      <c r="J29" s="72">
        <f t="shared" si="6"/>
        <v>4.8600000000000004E-2</v>
      </c>
      <c r="K29" s="72">
        <f t="shared" si="6"/>
        <v>5.7400000000000007E-2</v>
      </c>
    </row>
    <row r="30" spans="1:11" ht="17.25" x14ac:dyDescent="0.3">
      <c r="A30" s="138" t="s">
        <v>101</v>
      </c>
      <c r="B30" s="139">
        <f t="shared" ref="B30:D30" ca="1" si="7">$H$10+($H$10-B8)*B5/B35-($H$10-B49)*B50/B35</f>
        <v>0.23810134279410666</v>
      </c>
      <c r="C30" s="139">
        <f t="shared" ca="1" si="7"/>
        <v>0.22744893643454253</v>
      </c>
      <c r="D30" s="139">
        <f t="shared" ca="1" si="7"/>
        <v>0.22020032509844992</v>
      </c>
      <c r="E30" s="139">
        <f ca="1">$H$10+($H$10-E8)*E5/E35-($H$10-E49)*E50/E35</f>
        <v>0.21985163439133235</v>
      </c>
      <c r="G30" s="138" t="s">
        <v>108</v>
      </c>
      <c r="H30" s="139">
        <f ca="1">$H$7+$H$8*H24</f>
        <v>0.23810134279410664</v>
      </c>
      <c r="I30" s="139">
        <f t="shared" ref="I30:K30" ca="1" si="8">$H$7+$H$8*I24</f>
        <v>0.2274489364345425</v>
      </c>
      <c r="J30" s="139">
        <f t="shared" ca="1" si="8"/>
        <v>0.22020032509844989</v>
      </c>
      <c r="K30" s="139">
        <f t="shared" ca="1" si="8"/>
        <v>0.21985163439133229</v>
      </c>
    </row>
    <row r="31" spans="1:11" x14ac:dyDescent="0.25">
      <c r="A31" s="77" t="s">
        <v>63</v>
      </c>
      <c r="B31" s="104">
        <f ca="1">B29*B26+B30*B27</f>
        <v>0.13994841447600367</v>
      </c>
      <c r="C31" s="104">
        <f t="shared" ref="C31:E31" ca="1" si="9">C29*C26+C30*C27</f>
        <v>0.14219604884135026</v>
      </c>
      <c r="D31" s="104">
        <f t="shared" ca="1" si="9"/>
        <v>0.14208520876142042</v>
      </c>
      <c r="E31" s="104">
        <f t="shared" ca="1" si="9"/>
        <v>0.14194305328135598</v>
      </c>
      <c r="G31" s="77" t="s">
        <v>63</v>
      </c>
      <c r="H31" s="104">
        <f ca="1">H29*H26+H30*H27</f>
        <v>0.1399484144760037</v>
      </c>
      <c r="I31" s="104">
        <f t="shared" ref="I31:K31" ca="1" si="10">I29*I26+I30*I27</f>
        <v>0.14219604884135029</v>
      </c>
      <c r="J31" s="104">
        <f t="shared" ca="1" si="10"/>
        <v>0.14208520876142047</v>
      </c>
      <c r="K31" s="104">
        <f t="shared" ca="1" si="10"/>
        <v>0.14194305328135595</v>
      </c>
    </row>
    <row r="32" spans="1:11" x14ac:dyDescent="0.25">
      <c r="A32" s="17" t="s">
        <v>14</v>
      </c>
      <c r="B32" s="24">
        <f>B$15</f>
        <v>28</v>
      </c>
      <c r="C32" s="24">
        <f>C$15</f>
        <v>33.46</v>
      </c>
      <c r="D32" s="24">
        <f>D$15</f>
        <v>38.806000000000012</v>
      </c>
      <c r="E32" s="24">
        <f>E15</f>
        <v>49.017960000000009</v>
      </c>
      <c r="G32" s="17" t="s">
        <v>14</v>
      </c>
      <c r="H32" s="24">
        <f>B$15</f>
        <v>28</v>
      </c>
      <c r="I32" s="24">
        <f t="shared" ref="I32:K32" si="11">C$15</f>
        <v>33.46</v>
      </c>
      <c r="J32" s="24">
        <f t="shared" si="11"/>
        <v>38.806000000000012</v>
      </c>
      <c r="K32" s="24">
        <f t="shared" si="11"/>
        <v>49.017960000000009</v>
      </c>
    </row>
    <row r="33" spans="1:11" x14ac:dyDescent="0.25">
      <c r="A33" s="15" t="s">
        <v>5</v>
      </c>
      <c r="B33" s="16">
        <f ca="1">(C33+B32)/(1+B31)</f>
        <v>370.82162395643121</v>
      </c>
      <c r="C33" s="16">
        <f ca="1">(D33+C32)/(1+C31)</f>
        <v>394.71752228255065</v>
      </c>
      <c r="D33" s="16">
        <f ca="1">(E33+D32)/(1+D31)</f>
        <v>417.38479435957703</v>
      </c>
      <c r="E33" s="16">
        <f ca="1">E32/(E31-H11)</f>
        <v>437.8830000000001</v>
      </c>
      <c r="G33" s="15" t="s">
        <v>5</v>
      </c>
      <c r="H33" s="16">
        <f ca="1">(I33+H32)/(1+H31)</f>
        <v>370.82162395643132</v>
      </c>
      <c r="I33" s="16">
        <f ca="1">(J33+I32)/(1+I31)</f>
        <v>394.71752228255076</v>
      </c>
      <c r="J33" s="16">
        <f ca="1">(K33+J32)/(1+J31)</f>
        <v>417.38479435957714</v>
      </c>
      <c r="K33" s="16">
        <f ca="1">K32/(K31-H11)</f>
        <v>437.88300000000021</v>
      </c>
    </row>
    <row r="34" spans="1:11" x14ac:dyDescent="0.25">
      <c r="A34" s="17" t="s">
        <v>38</v>
      </c>
      <c r="B34" s="108">
        <f>B5</f>
        <v>170</v>
      </c>
      <c r="C34" s="108">
        <f>C5</f>
        <v>180</v>
      </c>
      <c r="D34" s="108">
        <f>D5</f>
        <v>190</v>
      </c>
      <c r="E34" s="108">
        <f>E5</f>
        <v>210</v>
      </c>
      <c r="G34" s="17" t="s">
        <v>38</v>
      </c>
      <c r="H34" s="108">
        <f>B5</f>
        <v>170</v>
      </c>
      <c r="I34" s="108">
        <f t="shared" ref="I34:K34" si="12">C5</f>
        <v>180</v>
      </c>
      <c r="J34" s="108">
        <f t="shared" si="12"/>
        <v>190</v>
      </c>
      <c r="K34" s="108">
        <f t="shared" si="12"/>
        <v>210</v>
      </c>
    </row>
    <row r="35" spans="1:11" x14ac:dyDescent="0.25">
      <c r="A35" s="80" t="s">
        <v>49</v>
      </c>
      <c r="B35" s="81">
        <f ca="1">B33-B34</f>
        <v>200.82162395643121</v>
      </c>
      <c r="C35" s="37">
        <f t="shared" ref="C35:E35" ca="1" si="13">C33-C34</f>
        <v>214.71752228255065</v>
      </c>
      <c r="D35" s="37">
        <f t="shared" ca="1" si="13"/>
        <v>227.38479435957703</v>
      </c>
      <c r="E35" s="37">
        <f t="shared" ca="1" si="13"/>
        <v>227.8830000000001</v>
      </c>
      <c r="G35" s="80" t="s">
        <v>49</v>
      </c>
      <c r="H35" s="81">
        <f ca="1">H33-H34</f>
        <v>200.82162395643132</v>
      </c>
      <c r="I35" s="37">
        <f t="shared" ref="I35:K35" ca="1" si="14">I33-I34</f>
        <v>214.71752228255076</v>
      </c>
      <c r="J35" s="37">
        <f t="shared" ca="1" si="14"/>
        <v>227.38479435957714</v>
      </c>
      <c r="K35" s="37">
        <f t="shared" ca="1" si="14"/>
        <v>227.88300000000021</v>
      </c>
    </row>
    <row r="36" spans="1:11" ht="18.75" x14ac:dyDescent="0.35">
      <c r="A36" s="13" t="s">
        <v>46</v>
      </c>
      <c r="B36" s="32">
        <f ca="1">B34/B33</f>
        <v>0.45844144196934355</v>
      </c>
      <c r="C36" s="32">
        <f t="shared" ref="C36:E36" ca="1" si="15">C34/C33</f>
        <v>0.45602231935158583</v>
      </c>
      <c r="D36" s="32">
        <f t="shared" ca="1" si="15"/>
        <v>0.4552154332587281</v>
      </c>
      <c r="E36" s="32">
        <f t="shared" ca="1" si="15"/>
        <v>0.47958016182404878</v>
      </c>
      <c r="G36" s="13" t="s">
        <v>46</v>
      </c>
      <c r="H36" s="32">
        <f ca="1">H34/H33</f>
        <v>0.45844144196934344</v>
      </c>
      <c r="I36" s="32">
        <f t="shared" ref="I36:K36" ca="1" si="16">I34/I33</f>
        <v>0.45602231935158566</v>
      </c>
      <c r="J36" s="32">
        <f t="shared" ca="1" si="16"/>
        <v>0.45521543325872799</v>
      </c>
      <c r="K36" s="32">
        <f t="shared" ca="1" si="16"/>
        <v>0.47958016182404867</v>
      </c>
    </row>
    <row r="38" spans="1:11" x14ac:dyDescent="0.25">
      <c r="A38" s="57" t="s">
        <v>67</v>
      </c>
      <c r="G38" s="57" t="s">
        <v>67</v>
      </c>
    </row>
    <row r="39" spans="1:11" x14ac:dyDescent="0.25">
      <c r="A39" s="17" t="s">
        <v>6</v>
      </c>
      <c r="B39" s="24">
        <f>B18</f>
        <v>33.92</v>
      </c>
      <c r="C39" s="24">
        <f t="shared" ref="C39:E39" si="17">C18</f>
        <v>36.17</v>
      </c>
      <c r="D39" s="24">
        <f t="shared" si="17"/>
        <v>49.57200000000001</v>
      </c>
      <c r="E39" s="24">
        <f t="shared" si="17"/>
        <v>43.263960000000004</v>
      </c>
      <c r="G39" s="17" t="s">
        <v>6</v>
      </c>
      <c r="H39" s="24">
        <f>B18</f>
        <v>33.92</v>
      </c>
      <c r="I39" s="24">
        <f t="shared" ref="I39:K39" si="18">C18</f>
        <v>36.17</v>
      </c>
      <c r="J39" s="24">
        <f t="shared" si="18"/>
        <v>49.57200000000001</v>
      </c>
      <c r="K39" s="24">
        <f t="shared" si="18"/>
        <v>43.263960000000004</v>
      </c>
    </row>
    <row r="40" spans="1:11" ht="17.25" x14ac:dyDescent="0.3">
      <c r="A40" s="97" t="s">
        <v>62</v>
      </c>
      <c r="B40" s="103">
        <f ca="1">B30</f>
        <v>0.23810134279410666</v>
      </c>
      <c r="C40" s="103">
        <f ca="1">C30</f>
        <v>0.22744893643454253</v>
      </c>
      <c r="D40" s="103">
        <f ca="1">D30</f>
        <v>0.22020032509844992</v>
      </c>
      <c r="E40" s="103">
        <f ca="1">E30</f>
        <v>0.21985163439133235</v>
      </c>
      <c r="G40" s="97" t="s">
        <v>111</v>
      </c>
      <c r="H40" s="103">
        <f ca="1">$H$7+$H$8*H24</f>
        <v>0.23810134279410664</v>
      </c>
      <c r="I40" s="103">
        <f t="shared" ref="I40:K40" ca="1" si="19">$H$7+$H$8*I24</f>
        <v>0.2274489364345425</v>
      </c>
      <c r="J40" s="103">
        <f t="shared" ca="1" si="19"/>
        <v>0.22020032509844989</v>
      </c>
      <c r="K40" s="103">
        <f t="shared" ca="1" si="19"/>
        <v>0.21985163439133229</v>
      </c>
    </row>
    <row r="41" spans="1:11" x14ac:dyDescent="0.25">
      <c r="A41" s="83" t="s">
        <v>49</v>
      </c>
      <c r="B41" s="106">
        <f ca="1">(C41+B39)/(1+B40)</f>
        <v>200.82162395643127</v>
      </c>
      <c r="C41" s="107">
        <f ca="1">(D41+C39)/(1+C40)</f>
        <v>214.7175222825507</v>
      </c>
      <c r="D41" s="107">
        <f ca="1">(E41+D39)/(1+D40)</f>
        <v>227.38479435957706</v>
      </c>
      <c r="E41" s="107">
        <f ca="1">E39/(E40-H11)</f>
        <v>227.88300000000007</v>
      </c>
      <c r="G41" s="83" t="s">
        <v>49</v>
      </c>
      <c r="H41" s="106">
        <f t="shared" ref="H41:I41" ca="1" si="20">(I41+H39)/(1+H40)</f>
        <v>200.82162395643135</v>
      </c>
      <c r="I41" s="107">
        <f t="shared" ca="1" si="20"/>
        <v>214.71752228255076</v>
      </c>
      <c r="J41" s="107">
        <f ca="1">(K41+J39)/(1+J40)</f>
        <v>227.38479435957711</v>
      </c>
      <c r="K41" s="107">
        <f ca="1">K39/(K40-H11)</f>
        <v>227.88300000000015</v>
      </c>
    </row>
    <row r="42" spans="1:11" x14ac:dyDescent="0.25">
      <c r="A42" s="7"/>
      <c r="G42" s="7"/>
    </row>
    <row r="43" spans="1:11" x14ac:dyDescent="0.25">
      <c r="A43" s="57" t="s">
        <v>64</v>
      </c>
      <c r="B43" s="3"/>
      <c r="C43" s="3"/>
      <c r="D43" s="3"/>
      <c r="G43" s="166" t="s">
        <v>149</v>
      </c>
      <c r="H43" s="166"/>
      <c r="I43" s="166"/>
      <c r="J43" s="166"/>
      <c r="K43" s="166"/>
    </row>
    <row r="44" spans="1:11" ht="18.75" x14ac:dyDescent="0.35">
      <c r="A44" s="75" t="s">
        <v>53</v>
      </c>
      <c r="B44" s="76">
        <f>$H$10</f>
        <v>0.15</v>
      </c>
      <c r="C44" s="76">
        <f>$H$10</f>
        <v>0.15</v>
      </c>
      <c r="D44" s="76">
        <f>$H$10</f>
        <v>0.15</v>
      </c>
      <c r="E44" s="76">
        <f>$H$10</f>
        <v>0.15</v>
      </c>
      <c r="G44" s="166" t="s">
        <v>150</v>
      </c>
      <c r="H44" s="166"/>
      <c r="I44" s="166"/>
      <c r="J44" s="166"/>
      <c r="K44" s="166"/>
    </row>
    <row r="45" spans="1:11" x14ac:dyDescent="0.25">
      <c r="A45" s="12" t="s">
        <v>14</v>
      </c>
      <c r="B45" s="21">
        <f>B15</f>
        <v>28</v>
      </c>
      <c r="C45" s="21">
        <f t="shared" ref="C45:E45" si="21">C15</f>
        <v>33.46</v>
      </c>
      <c r="D45" s="21">
        <f t="shared" si="21"/>
        <v>38.806000000000012</v>
      </c>
      <c r="E45" s="21">
        <f t="shared" si="21"/>
        <v>49.017960000000009</v>
      </c>
    </row>
    <row r="46" spans="1:11" x14ac:dyDescent="0.25">
      <c r="A46" s="86" t="s">
        <v>51</v>
      </c>
      <c r="B46" s="21">
        <f>(C46+B45)/(1+B44)</f>
        <v>343.74817128297866</v>
      </c>
      <c r="C46" s="21">
        <f>(D46+C45)/(1+C44)</f>
        <v>367.31039697542542</v>
      </c>
      <c r="D46" s="21">
        <f>(E46+D45)/(1+D44)</f>
        <v>388.94695652173925</v>
      </c>
      <c r="E46" s="10">
        <f>E45/(E44-$H$11)</f>
        <v>408.48300000000012</v>
      </c>
    </row>
    <row r="47" spans="1:11" ht="18.75" x14ac:dyDescent="0.35">
      <c r="A47" s="82" t="s">
        <v>52</v>
      </c>
      <c r="B47" s="29">
        <f>B8</f>
        <v>0.03</v>
      </c>
      <c r="C47" s="29">
        <f>C8</f>
        <v>0.05</v>
      </c>
      <c r="D47" s="29">
        <f>D8</f>
        <v>0.06</v>
      </c>
      <c r="E47" s="29">
        <f>E8</f>
        <v>7.0000000000000007E-2</v>
      </c>
    </row>
    <row r="48" spans="1:11" x14ac:dyDescent="0.25">
      <c r="A48" s="82" t="s">
        <v>50</v>
      </c>
      <c r="B48" s="21">
        <f>B8*B5*B9</f>
        <v>1.02</v>
      </c>
      <c r="C48" s="21">
        <f>C8*C5*C9</f>
        <v>1.71</v>
      </c>
      <c r="D48" s="21">
        <f>D8*D5*D9</f>
        <v>2.1659999999999999</v>
      </c>
      <c r="E48" s="21">
        <f>E8*E5*E9</f>
        <v>2.6459999999999999</v>
      </c>
    </row>
    <row r="49" spans="1:5" x14ac:dyDescent="0.25">
      <c r="A49" s="163" t="s">
        <v>136</v>
      </c>
      <c r="B49" s="164">
        <f>'9-Univerzální reagenční funkce'!B23</f>
        <v>0.05</v>
      </c>
      <c r="C49" s="164">
        <f>'9-Univerzální reagenční funkce'!C23</f>
        <v>0.1</v>
      </c>
      <c r="D49" s="164">
        <f>'9-Univerzální reagenční funkce'!D23</f>
        <v>0.11</v>
      </c>
      <c r="E49" s="164">
        <f>'9-Univerzální reagenční funkce'!E23</f>
        <v>0.12</v>
      </c>
    </row>
    <row r="50" spans="1:5" x14ac:dyDescent="0.25">
      <c r="A50" s="13" t="s">
        <v>137</v>
      </c>
      <c r="B50" s="14">
        <f t="shared" ref="B50:C50" si="22">(C50+B48)/(1+B49)</f>
        <v>27.073452673452667</v>
      </c>
      <c r="C50" s="14">
        <f t="shared" si="22"/>
        <v>27.407125307125302</v>
      </c>
      <c r="D50" s="14">
        <f>(E50+D48)/(1+D49)</f>
        <v>28.437837837837833</v>
      </c>
      <c r="E50" s="14">
        <f>E48/(E49-$H$11)</f>
        <v>29.4</v>
      </c>
    </row>
    <row r="51" spans="1:5" x14ac:dyDescent="0.25">
      <c r="A51" s="35" t="s">
        <v>9</v>
      </c>
      <c r="B51" s="36">
        <f>B46+B50</f>
        <v>370.82162395643132</v>
      </c>
      <c r="C51" s="36">
        <f>C46+C50</f>
        <v>394.7175222825507</v>
      </c>
      <c r="D51" s="36">
        <f>D46+D50</f>
        <v>417.38479435957709</v>
      </c>
      <c r="E51" s="36">
        <f>E46+E50</f>
        <v>437.8830000000001</v>
      </c>
    </row>
    <row r="52" spans="1:5" x14ac:dyDescent="0.25">
      <c r="A52" s="40" t="s">
        <v>2</v>
      </c>
      <c r="B52" s="41">
        <f>B5</f>
        <v>170</v>
      </c>
      <c r="C52" s="41">
        <f>C5</f>
        <v>180</v>
      </c>
      <c r="D52" s="41">
        <f>D5</f>
        <v>190</v>
      </c>
      <c r="E52" s="41">
        <f>E5</f>
        <v>210</v>
      </c>
    </row>
    <row r="53" spans="1:5" x14ac:dyDescent="0.25">
      <c r="A53" s="83" t="s">
        <v>49</v>
      </c>
      <c r="B53" s="105">
        <f>B51-B52</f>
        <v>200.82162395643132</v>
      </c>
      <c r="C53" s="85">
        <f t="shared" ref="C53:E53" si="23">C51-C52</f>
        <v>214.7175222825507</v>
      </c>
      <c r="D53" s="85">
        <f t="shared" si="23"/>
        <v>227.38479435957709</v>
      </c>
      <c r="E53" s="85">
        <f t="shared" si="23"/>
        <v>227.8830000000001</v>
      </c>
    </row>
    <row r="54" spans="1:5" x14ac:dyDescent="0.25">
      <c r="B54" s="8"/>
      <c r="C54" s="1"/>
      <c r="D54" s="1"/>
      <c r="E54" s="8"/>
    </row>
    <row r="58" spans="1:5" x14ac:dyDescent="0.25">
      <c r="A58" s="7"/>
    </row>
    <row r="59" spans="1:5" x14ac:dyDescent="0.25">
      <c r="A59" s="7"/>
    </row>
    <row r="60" spans="1:5" x14ac:dyDescent="0.25">
      <c r="A60" s="7"/>
    </row>
    <row r="61" spans="1:5" x14ac:dyDescent="0.25">
      <c r="A61" s="7"/>
    </row>
    <row r="62" spans="1:5" x14ac:dyDescent="0.25">
      <c r="A62" s="7"/>
    </row>
    <row r="63" spans="1:5" x14ac:dyDescent="0.25">
      <c r="A63" s="7"/>
    </row>
    <row r="64" spans="1:5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</sheetData>
  <hyperlinks>
    <hyperlink ref="M1" location="Úvod!A31" display="Skok na obsah" xr:uid="{5AFB7A0E-8722-4E49-9201-C063FF7C47EF}"/>
  </hyperlinks>
  <printOptions gridLinesSet="0"/>
  <pageMargins left="0.78740157480314965" right="0.78740157480314965" top="0.98425196850393704" bottom="0.78740157480314965" header="0.51181102362204722" footer="0.51181102362204722"/>
  <pageSetup paperSize="9" scale="48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rowBreaks count="1" manualBreakCount="1">
    <brk id="49" max="65535" man="1"/>
  </rowBreaks>
  <drawing r:id="rId2"/>
  <legacyDrawing r:id="rId3"/>
  <oleObjects>
    <mc:AlternateContent xmlns:mc="http://schemas.openxmlformats.org/markup-compatibility/2006">
      <mc:Choice Requires="x14">
        <oleObject progId="Equation.3" shapeId="89090" r:id="rId4">
          <objectPr defaultSize="0" autoPict="0" r:id="rId5">
            <anchor moveWithCells="1" sizeWithCells="1">
              <from>
                <xdr:col>11</xdr:col>
                <xdr:colOff>180975</xdr:colOff>
                <xdr:row>22</xdr:row>
                <xdr:rowOff>133350</xdr:rowOff>
              </from>
              <to>
                <xdr:col>15</xdr:col>
                <xdr:colOff>619125</xdr:colOff>
                <xdr:row>24</xdr:row>
                <xdr:rowOff>114300</xdr:rowOff>
              </to>
            </anchor>
          </objectPr>
        </oleObject>
      </mc:Choice>
      <mc:Fallback>
        <oleObject progId="Equation.3" shapeId="8909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7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10.625" customWidth="1"/>
  </cols>
  <sheetData>
    <row r="1" spans="1:9" ht="18.75" x14ac:dyDescent="0.3">
      <c r="A1" s="53" t="s">
        <v>32</v>
      </c>
      <c r="B1" s="54" t="s">
        <v>44</v>
      </c>
      <c r="I1" s="172" t="s">
        <v>164</v>
      </c>
    </row>
    <row r="2" spans="1:9" x14ac:dyDescent="0.25">
      <c r="B2" s="54" t="s">
        <v>54</v>
      </c>
    </row>
    <row r="3" spans="1:9" x14ac:dyDescent="0.25">
      <c r="A3" s="55" t="s">
        <v>0</v>
      </c>
      <c r="B3" s="56">
        <v>2023</v>
      </c>
      <c r="C3" s="56">
        <f>B3+1</f>
        <v>2024</v>
      </c>
      <c r="D3" s="56">
        <f>C3+1</f>
        <v>2025</v>
      </c>
      <c r="E3" s="56" t="s">
        <v>1</v>
      </c>
    </row>
    <row r="4" spans="1:9" ht="17.25" customHeight="1" x14ac:dyDescent="0.25">
      <c r="A4" s="57" t="s">
        <v>33</v>
      </c>
    </row>
    <row r="5" spans="1:9" x14ac:dyDescent="0.25">
      <c r="A5" s="17" t="s">
        <v>38</v>
      </c>
      <c r="B5" s="70">
        <v>170</v>
      </c>
      <c r="C5" s="70">
        <v>170</v>
      </c>
      <c r="D5" s="70">
        <v>170</v>
      </c>
      <c r="E5" s="70">
        <v>170</v>
      </c>
      <c r="G5" s="1" t="s">
        <v>37</v>
      </c>
    </row>
    <row r="6" spans="1:9" x14ac:dyDescent="0.25">
      <c r="A6" s="12" t="s">
        <v>39</v>
      </c>
      <c r="B6" s="66">
        <v>180</v>
      </c>
      <c r="C6" s="66">
        <v>190</v>
      </c>
      <c r="D6" s="66">
        <v>200</v>
      </c>
      <c r="E6" s="66">
        <v>200</v>
      </c>
      <c r="G6" s="65" t="s">
        <v>7</v>
      </c>
      <c r="H6" s="59">
        <v>0.2</v>
      </c>
    </row>
    <row r="7" spans="1:9" ht="18.75" x14ac:dyDescent="0.35">
      <c r="A7" s="30" t="s">
        <v>40</v>
      </c>
      <c r="B7" s="31">
        <f>B5+B6</f>
        <v>350</v>
      </c>
      <c r="C7" s="31">
        <f>C5+C6</f>
        <v>360</v>
      </c>
      <c r="D7" s="31">
        <f>D5+D6</f>
        <v>370</v>
      </c>
      <c r="E7" s="31">
        <f>E5+E6</f>
        <v>370</v>
      </c>
      <c r="G7" s="60" t="s">
        <v>34</v>
      </c>
      <c r="H7" s="62">
        <v>0.05</v>
      </c>
    </row>
    <row r="8" spans="1:9" ht="18.75" x14ac:dyDescent="0.35">
      <c r="A8" s="12" t="s">
        <v>42</v>
      </c>
      <c r="B8" s="27">
        <f>$H$7</f>
        <v>0.05</v>
      </c>
      <c r="C8" s="27">
        <f>$H$7</f>
        <v>0.05</v>
      </c>
      <c r="D8" s="27">
        <f>$H$7</f>
        <v>0.05</v>
      </c>
      <c r="E8" s="68">
        <f>$H$7</f>
        <v>0.05</v>
      </c>
      <c r="G8" s="60" t="s">
        <v>35</v>
      </c>
      <c r="H8" s="62">
        <v>0.15</v>
      </c>
    </row>
    <row r="9" spans="1:9" x14ac:dyDescent="0.25">
      <c r="A9" s="13" t="s">
        <v>57</v>
      </c>
      <c r="B9" s="28">
        <f>$H$6</f>
        <v>0.2</v>
      </c>
      <c r="C9" s="28">
        <f>$H$6</f>
        <v>0.2</v>
      </c>
      <c r="D9" s="28">
        <f>$H$6</f>
        <v>0.2</v>
      </c>
      <c r="E9" s="69">
        <f>$H$6</f>
        <v>0.2</v>
      </c>
      <c r="G9" s="61" t="s">
        <v>3</v>
      </c>
      <c r="H9" s="63">
        <v>0.25</v>
      </c>
    </row>
    <row r="10" spans="1:9" x14ac:dyDescent="0.25">
      <c r="A10" s="9" t="s">
        <v>15</v>
      </c>
      <c r="B10" s="67">
        <v>60</v>
      </c>
      <c r="C10" s="67">
        <f>B10*1.1</f>
        <v>66</v>
      </c>
      <c r="D10" s="67">
        <f>C10*1.1</f>
        <v>72.600000000000009</v>
      </c>
      <c r="E10" s="67">
        <f>D10</f>
        <v>72.600000000000009</v>
      </c>
      <c r="G10" s="65" t="s">
        <v>36</v>
      </c>
      <c r="H10" s="59">
        <v>0</v>
      </c>
    </row>
    <row r="11" spans="1:9" x14ac:dyDescent="0.25">
      <c r="A11" s="1"/>
      <c r="B11" s="38"/>
      <c r="C11" s="38"/>
      <c r="D11" s="38"/>
      <c r="E11" s="39"/>
    </row>
    <row r="12" spans="1:9" x14ac:dyDescent="0.25">
      <c r="A12" s="57" t="s">
        <v>61</v>
      </c>
      <c r="E12" s="2"/>
    </row>
    <row r="13" spans="1:9" x14ac:dyDescent="0.25">
      <c r="A13" s="17" t="s">
        <v>16</v>
      </c>
      <c r="B13" s="24">
        <f>B10*(1-B9)</f>
        <v>48</v>
      </c>
      <c r="C13" s="24">
        <f>C10*(1-C9)</f>
        <v>52.800000000000004</v>
      </c>
      <c r="D13" s="24">
        <f>D10*(1-D9)</f>
        <v>58.080000000000013</v>
      </c>
      <c r="E13" s="24">
        <f>E10*(1-E9)</f>
        <v>58.080000000000013</v>
      </c>
    </row>
    <row r="14" spans="1:9" x14ac:dyDescent="0.25">
      <c r="A14" s="13" t="s">
        <v>41</v>
      </c>
      <c r="B14" s="14">
        <f>-(C7-B7)</f>
        <v>-10</v>
      </c>
      <c r="C14" s="14">
        <f>-(D7-C7)</f>
        <v>-10</v>
      </c>
      <c r="D14" s="14">
        <f>-(E7-D7)</f>
        <v>0</v>
      </c>
      <c r="E14" s="14">
        <f>-E7*H10</f>
        <v>0</v>
      </c>
    </row>
    <row r="15" spans="1:9" x14ac:dyDescent="0.25">
      <c r="A15" s="30" t="s">
        <v>14</v>
      </c>
      <c r="B15" s="31">
        <f>B13+B14</f>
        <v>38</v>
      </c>
      <c r="C15" s="31">
        <f>C13+C14</f>
        <v>42.800000000000004</v>
      </c>
      <c r="D15" s="31">
        <f>D13+D14</f>
        <v>58.080000000000013</v>
      </c>
      <c r="E15" s="31">
        <f>E13+E14</f>
        <v>58.080000000000013</v>
      </c>
    </row>
    <row r="16" spans="1:9" ht="18.75" x14ac:dyDescent="0.35">
      <c r="A16" s="82" t="s">
        <v>48</v>
      </c>
      <c r="B16" s="10">
        <f>-B8*B5*(1-B9)</f>
        <v>-6.8000000000000007</v>
      </c>
      <c r="C16" s="10">
        <f>-C8*C5*(1-C9)</f>
        <v>-6.8000000000000007</v>
      </c>
      <c r="D16" s="10">
        <f>-D8*D5*(1-D9)</f>
        <v>-6.8000000000000007</v>
      </c>
      <c r="E16" s="10">
        <f>-E8*E5*(1-E9)</f>
        <v>-6.8000000000000007</v>
      </c>
    </row>
    <row r="17" spans="1:7" x14ac:dyDescent="0.25">
      <c r="A17" s="25" t="s">
        <v>11</v>
      </c>
      <c r="B17" s="21">
        <f>C5-B5</f>
        <v>0</v>
      </c>
      <c r="C17" s="21">
        <f>D5-C5</f>
        <v>0</v>
      </c>
      <c r="D17" s="21">
        <f>E5-D5</f>
        <v>0</v>
      </c>
      <c r="E17" s="21">
        <f>E5*H10</f>
        <v>0</v>
      </c>
    </row>
    <row r="18" spans="1:7" x14ac:dyDescent="0.25">
      <c r="A18" s="9" t="s">
        <v>6</v>
      </c>
      <c r="B18" s="90">
        <f>SUM(B15:B17)</f>
        <v>31.2</v>
      </c>
      <c r="C18" s="90">
        <f t="shared" ref="C18:E18" si="0">SUM(C15:C17)</f>
        <v>36</v>
      </c>
      <c r="D18" s="90">
        <f t="shared" si="0"/>
        <v>51.280000000000015</v>
      </c>
      <c r="E18" s="90">
        <f t="shared" si="0"/>
        <v>51.280000000000015</v>
      </c>
    </row>
    <row r="19" spans="1:7" x14ac:dyDescent="0.25">
      <c r="A19" s="1"/>
      <c r="B19" s="38"/>
      <c r="C19" s="38"/>
      <c r="D19" s="38"/>
      <c r="E19" s="38"/>
    </row>
    <row r="20" spans="1:7" x14ac:dyDescent="0.25">
      <c r="A20" s="57" t="s">
        <v>43</v>
      </c>
      <c r="B20" s="38"/>
      <c r="C20" s="38"/>
      <c r="D20" s="38"/>
      <c r="E20" s="39"/>
    </row>
    <row r="21" spans="1:7" x14ac:dyDescent="0.25">
      <c r="A21" s="71" t="s">
        <v>58</v>
      </c>
      <c r="B21" s="72">
        <f>$H$9</f>
        <v>0.25</v>
      </c>
      <c r="C21" s="72">
        <f>$H$9</f>
        <v>0.25</v>
      </c>
      <c r="D21" s="72">
        <f>$H$9</f>
        <v>0.25</v>
      </c>
      <c r="E21" s="72">
        <f>$H$9</f>
        <v>0.25</v>
      </c>
    </row>
    <row r="22" spans="1:7" x14ac:dyDescent="0.25">
      <c r="A22" s="73" t="s">
        <v>10</v>
      </c>
      <c r="B22" s="74">
        <f>(1-B21)</f>
        <v>0.75</v>
      </c>
      <c r="C22" s="74">
        <f>(1-C21)</f>
        <v>0.75</v>
      </c>
      <c r="D22" s="74">
        <f>(1-D21)</f>
        <v>0.75</v>
      </c>
      <c r="E22" s="74">
        <f>(1-E21)</f>
        <v>0.75</v>
      </c>
    </row>
    <row r="23" spans="1:7" x14ac:dyDescent="0.25">
      <c r="A23" s="73" t="s">
        <v>13</v>
      </c>
      <c r="B23" s="74">
        <f>B21/B22</f>
        <v>0.33333333333333331</v>
      </c>
      <c r="C23" s="74">
        <f>C21/C22</f>
        <v>0.33333333333333331</v>
      </c>
      <c r="D23" s="74">
        <f>D21/D22</f>
        <v>0.33333333333333331</v>
      </c>
      <c r="E23" s="74">
        <f>E21/E22</f>
        <v>0.33333333333333331</v>
      </c>
    </row>
    <row r="24" spans="1:7" ht="18.75" x14ac:dyDescent="0.35">
      <c r="A24" s="71" t="s">
        <v>60</v>
      </c>
      <c r="B24" s="72">
        <f>B8*(1-B9)</f>
        <v>4.0000000000000008E-2</v>
      </c>
      <c r="C24" s="72">
        <f>C8*(1-C9)</f>
        <v>4.0000000000000008E-2</v>
      </c>
      <c r="D24" s="72">
        <f>D8*(1-D9)</f>
        <v>4.0000000000000008E-2</v>
      </c>
      <c r="E24" s="72">
        <f>E8*(1-E9)</f>
        <v>4.0000000000000008E-2</v>
      </c>
    </row>
    <row r="25" spans="1:7" ht="17.25" x14ac:dyDescent="0.3">
      <c r="A25" s="97" t="s">
        <v>45</v>
      </c>
      <c r="B25" s="98">
        <f>$H$8+($H$8-B8)*(1-B9)*(B21/B22)</f>
        <v>0.17666666666666667</v>
      </c>
      <c r="C25" s="98">
        <f>$H$8+($H$8-C8)*(1-C9)*(C21/C22)</f>
        <v>0.17666666666666667</v>
      </c>
      <c r="D25" s="98">
        <f>$H$8+($H$8-D8)*(1-D9)*(D21/D22)</f>
        <v>0.17666666666666667</v>
      </c>
      <c r="E25" s="98">
        <f>$H$8+($H$8-E8)*(1-E9)*(E21/E22)</f>
        <v>0.17666666666666667</v>
      </c>
    </row>
    <row r="26" spans="1:7" x14ac:dyDescent="0.25">
      <c r="A26" s="77" t="s">
        <v>4</v>
      </c>
      <c r="B26" s="78">
        <f>B25*B22+B24*B21</f>
        <v>0.14250000000000002</v>
      </c>
      <c r="C26" s="78">
        <f>C25*C22+C24*C21</f>
        <v>0.14250000000000002</v>
      </c>
      <c r="D26" s="78">
        <f>D25*D22+D24*D21</f>
        <v>0.14250000000000002</v>
      </c>
      <c r="E26" s="78">
        <f>E25*E22+E24*E21</f>
        <v>0.14250000000000002</v>
      </c>
    </row>
    <row r="27" spans="1:7" x14ac:dyDescent="0.25">
      <c r="A27" s="17" t="s">
        <v>14</v>
      </c>
      <c r="B27" s="24">
        <f>B$15</f>
        <v>38</v>
      </c>
      <c r="C27" s="24">
        <f>C$15</f>
        <v>42.800000000000004</v>
      </c>
      <c r="D27" s="24">
        <f>D$15</f>
        <v>58.080000000000013</v>
      </c>
      <c r="E27" s="24">
        <f>E15</f>
        <v>58.080000000000013</v>
      </c>
    </row>
    <row r="28" spans="1:7" x14ac:dyDescent="0.25">
      <c r="A28" s="15" t="s">
        <v>9</v>
      </c>
      <c r="B28" s="16">
        <f>(C28+B27)/(1+B26)</f>
        <v>378.29738987951754</v>
      </c>
      <c r="C28" s="16">
        <f>(D28+C27)/(1+C26)</f>
        <v>394.20476793734883</v>
      </c>
      <c r="D28" s="16">
        <f>(E28+D27)/(1+D26)</f>
        <v>407.57894736842104</v>
      </c>
      <c r="E28" s="16">
        <f>E27/(E26-H10)</f>
        <v>407.5789473684211</v>
      </c>
    </row>
    <row r="29" spans="1:7" x14ac:dyDescent="0.25">
      <c r="A29" s="17" t="s">
        <v>38</v>
      </c>
      <c r="B29" s="108">
        <f>B5</f>
        <v>170</v>
      </c>
      <c r="C29" s="108">
        <f>C5</f>
        <v>170</v>
      </c>
      <c r="D29" s="108">
        <f>D5</f>
        <v>170</v>
      </c>
      <c r="E29" s="108">
        <f>E5</f>
        <v>170</v>
      </c>
      <c r="F29" s="79"/>
    </row>
    <row r="30" spans="1:7" x14ac:dyDescent="0.25">
      <c r="A30" s="80" t="s">
        <v>49</v>
      </c>
      <c r="B30" s="81">
        <f>B28-B29</f>
        <v>208.29738987951754</v>
      </c>
      <c r="C30" s="37">
        <f t="shared" ref="C30:E30" si="1">C28-C29</f>
        <v>224.20476793734883</v>
      </c>
      <c r="D30" s="37">
        <f t="shared" si="1"/>
        <v>237.57894736842104</v>
      </c>
      <c r="E30" s="37">
        <f t="shared" si="1"/>
        <v>237.5789473684211</v>
      </c>
      <c r="F30" s="43"/>
      <c r="G30" s="44"/>
    </row>
    <row r="31" spans="1:7" ht="18.75" x14ac:dyDescent="0.35">
      <c r="A31" s="13" t="s">
        <v>46</v>
      </c>
      <c r="B31" s="18">
        <f>B29/B28</f>
        <v>0.44938190045176529</v>
      </c>
      <c r="C31" s="18">
        <f t="shared" ref="C31:E31" si="2">C29/C28</f>
        <v>0.4312479549385313</v>
      </c>
      <c r="D31" s="18">
        <f t="shared" si="2"/>
        <v>0.41709710743801653</v>
      </c>
      <c r="E31" s="18">
        <f t="shared" si="2"/>
        <v>0.41709710743801648</v>
      </c>
      <c r="F31" s="43"/>
      <c r="G31" s="42"/>
    </row>
    <row r="32" spans="1:7" x14ac:dyDescent="0.25">
      <c r="A32" s="7"/>
    </row>
    <row r="33" spans="1:5" x14ac:dyDescent="0.25">
      <c r="A33" s="57" t="s">
        <v>47</v>
      </c>
      <c r="E33" s="2"/>
    </row>
    <row r="34" spans="1:5" x14ac:dyDescent="0.25">
      <c r="A34" s="17" t="s">
        <v>6</v>
      </c>
      <c r="B34" s="24">
        <f>B18</f>
        <v>31.2</v>
      </c>
      <c r="C34" s="24">
        <f t="shared" ref="C34:E34" si="3">C18</f>
        <v>36</v>
      </c>
      <c r="D34" s="24">
        <f t="shared" si="3"/>
        <v>51.280000000000015</v>
      </c>
      <c r="E34" s="24">
        <f t="shared" si="3"/>
        <v>51.280000000000015</v>
      </c>
    </row>
    <row r="35" spans="1:5" ht="17.25" x14ac:dyDescent="0.3">
      <c r="A35" s="109" t="s">
        <v>45</v>
      </c>
      <c r="B35" s="103">
        <f>B25</f>
        <v>0.17666666666666667</v>
      </c>
      <c r="C35" s="103">
        <f>C25</f>
        <v>0.17666666666666667</v>
      </c>
      <c r="D35" s="103">
        <f>D25</f>
        <v>0.17666666666666667</v>
      </c>
      <c r="E35" s="103">
        <f>E25</f>
        <v>0.17666666666666667</v>
      </c>
    </row>
    <row r="36" spans="1:5" x14ac:dyDescent="0.25">
      <c r="A36" s="110" t="s">
        <v>49</v>
      </c>
      <c r="B36" s="111">
        <f>(C36+B34)/(1+B35)</f>
        <v>262.16287414958521</v>
      </c>
      <c r="C36" s="107">
        <f>(D36+C34)/(1+C35)</f>
        <v>277.27831524934527</v>
      </c>
      <c r="D36" s="107">
        <f>(E36+D34)/(1+D35)</f>
        <v>290.26415094339632</v>
      </c>
      <c r="E36" s="107">
        <f>E34/(E35-H10)</f>
        <v>290.26415094339632</v>
      </c>
    </row>
    <row r="37" spans="1:5" x14ac:dyDescent="0.25">
      <c r="A37" s="7"/>
    </row>
    <row r="38" spans="1:5" x14ac:dyDescent="0.25">
      <c r="A38" s="57" t="s">
        <v>64</v>
      </c>
      <c r="B38" s="3"/>
      <c r="C38" s="3"/>
      <c r="D38" s="3"/>
    </row>
    <row r="39" spans="1:5" ht="17.25" x14ac:dyDescent="0.3">
      <c r="A39" s="75" t="s">
        <v>53</v>
      </c>
      <c r="B39" s="76">
        <f>$H$8</f>
        <v>0.15</v>
      </c>
      <c r="C39" s="76">
        <f>$H$8</f>
        <v>0.15</v>
      </c>
      <c r="D39" s="76">
        <f>$H$8</f>
        <v>0.15</v>
      </c>
      <c r="E39" s="76">
        <f>$H$8</f>
        <v>0.15</v>
      </c>
    </row>
    <row r="40" spans="1:5" x14ac:dyDescent="0.25">
      <c r="A40" s="12" t="s">
        <v>14</v>
      </c>
      <c r="B40" s="21">
        <f>B15</f>
        <v>38</v>
      </c>
      <c r="C40" s="21">
        <f t="shared" ref="C40:E40" si="4">C15</f>
        <v>42.800000000000004</v>
      </c>
      <c r="D40" s="21">
        <f t="shared" si="4"/>
        <v>58.080000000000013</v>
      </c>
      <c r="E40" s="21">
        <f t="shared" si="4"/>
        <v>58.080000000000013</v>
      </c>
    </row>
    <row r="41" spans="1:5" x14ac:dyDescent="0.25">
      <c r="A41" s="86" t="s">
        <v>51</v>
      </c>
      <c r="B41" s="21">
        <f>(C41+B40)/(1+B39)</f>
        <v>358.18525519848782</v>
      </c>
      <c r="C41" s="21">
        <f>(D41+C40)/(1+C39)</f>
        <v>373.91304347826099</v>
      </c>
      <c r="D41" s="21">
        <f>(E41+D40)/(1+D39)</f>
        <v>387.2000000000001</v>
      </c>
      <c r="E41" s="21">
        <f>E40/(E39-$H$10)</f>
        <v>387.2000000000001</v>
      </c>
    </row>
    <row r="42" spans="1:5" ht="18.75" x14ac:dyDescent="0.35">
      <c r="A42" s="82" t="s">
        <v>52</v>
      </c>
      <c r="B42" s="29">
        <f>B8</f>
        <v>0.05</v>
      </c>
      <c r="C42" s="29">
        <f>C8</f>
        <v>0.05</v>
      </c>
      <c r="D42" s="29">
        <f>D8</f>
        <v>0.05</v>
      </c>
      <c r="E42" s="29">
        <f>E8</f>
        <v>0.05</v>
      </c>
    </row>
    <row r="43" spans="1:5" x14ac:dyDescent="0.25">
      <c r="A43" s="82" t="s">
        <v>50</v>
      </c>
      <c r="B43" s="21">
        <f>B8*B5*B9</f>
        <v>1.7000000000000002</v>
      </c>
      <c r="C43" s="21">
        <f>C8*C5*C9</f>
        <v>1.7000000000000002</v>
      </c>
      <c r="D43" s="21">
        <f>D8*D5*D9</f>
        <v>1.7000000000000002</v>
      </c>
      <c r="E43" s="21">
        <f>E8*E5*E9</f>
        <v>1.7000000000000002</v>
      </c>
    </row>
    <row r="44" spans="1:5" x14ac:dyDescent="0.25">
      <c r="A44" s="13" t="s">
        <v>137</v>
      </c>
      <c r="B44" s="34">
        <f>(C44+B43)/(1+B42)</f>
        <v>34</v>
      </c>
      <c r="C44" s="14">
        <f>(D44+C43)/(1+C42)</f>
        <v>34</v>
      </c>
      <c r="D44" s="14">
        <f>(E44+D43)/(1+D42)</f>
        <v>34</v>
      </c>
      <c r="E44" s="14">
        <f>E43/(E42-$H$10)</f>
        <v>34</v>
      </c>
    </row>
    <row r="45" spans="1:5" x14ac:dyDescent="0.25">
      <c r="A45" s="35" t="s">
        <v>9</v>
      </c>
      <c r="B45" s="36">
        <f>B41+B44</f>
        <v>392.18525519848782</v>
      </c>
      <c r="C45" s="36">
        <f>C41+C44</f>
        <v>407.91304347826099</v>
      </c>
      <c r="D45" s="36">
        <f>D41+D44</f>
        <v>421.2000000000001</v>
      </c>
      <c r="E45" s="36">
        <f>E41+E44</f>
        <v>421.2000000000001</v>
      </c>
    </row>
    <row r="46" spans="1:5" x14ac:dyDescent="0.25">
      <c r="A46" s="40" t="s">
        <v>2</v>
      </c>
      <c r="B46" s="41">
        <f>B5</f>
        <v>170</v>
      </c>
      <c r="C46" s="41">
        <f>C5</f>
        <v>170</v>
      </c>
      <c r="D46" s="41">
        <f>D5</f>
        <v>170</v>
      </c>
      <c r="E46" s="41">
        <f>E5</f>
        <v>170</v>
      </c>
    </row>
    <row r="47" spans="1:5" x14ac:dyDescent="0.25">
      <c r="A47" s="83" t="s">
        <v>49</v>
      </c>
      <c r="B47" s="84">
        <f>B45-B46</f>
        <v>222.18525519848782</v>
      </c>
      <c r="C47" s="85">
        <f t="shared" ref="C47:E47" si="5">C45-C46</f>
        <v>237.91304347826099</v>
      </c>
      <c r="D47" s="85">
        <f t="shared" si="5"/>
        <v>251.2000000000001</v>
      </c>
      <c r="E47" s="85">
        <f t="shared" si="5"/>
        <v>251.2000000000001</v>
      </c>
    </row>
    <row r="48" spans="1:5" x14ac:dyDescent="0.25">
      <c r="B48" s="8"/>
      <c r="C48" s="1"/>
      <c r="D48" s="1"/>
      <c r="E48" s="8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</sheetData>
  <phoneticPr fontId="10" type="noConversion"/>
  <hyperlinks>
    <hyperlink ref="I1" location="Úvod!A31" display="Skok na obsah" xr:uid="{A301E232-D919-4592-AE25-DD5857120F1E}"/>
  </hyperlinks>
  <printOptions gridLinesSet="0"/>
  <pageMargins left="0.78740157480314965" right="0.78740157480314965" top="0.98425196850393704" bottom="0.78740157480314965" header="0.51181102362204722" footer="0.51181102362204722"/>
  <pageSetup paperSize="9" scale="79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7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10.625" customWidth="1"/>
  </cols>
  <sheetData>
    <row r="1" spans="1:9" ht="18.75" x14ac:dyDescent="0.3">
      <c r="A1" s="53" t="s">
        <v>55</v>
      </c>
      <c r="B1" s="54" t="s">
        <v>44</v>
      </c>
      <c r="I1" s="172" t="s">
        <v>164</v>
      </c>
    </row>
    <row r="2" spans="1:9" x14ac:dyDescent="0.25">
      <c r="B2" s="54" t="s">
        <v>56</v>
      </c>
    </row>
    <row r="3" spans="1:9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</row>
    <row r="4" spans="1:9" ht="17.25" customHeight="1" x14ac:dyDescent="0.25">
      <c r="A4" s="57" t="s">
        <v>65</v>
      </c>
    </row>
    <row r="5" spans="1:9" x14ac:dyDescent="0.25">
      <c r="A5" s="17" t="s">
        <v>38</v>
      </c>
      <c r="B5" s="91">
        <f>'1-MM, cílová struktura'!B5</f>
        <v>170</v>
      </c>
      <c r="C5" s="24">
        <f>'1-MM, cílová struktura'!C5</f>
        <v>170</v>
      </c>
      <c r="D5" s="24">
        <f>'1-MM, cílová struktura'!D5</f>
        <v>170</v>
      </c>
      <c r="E5" s="24">
        <f>'1-MM, cílová struktura'!E5</f>
        <v>170</v>
      </c>
      <c r="G5" s="1" t="s">
        <v>37</v>
      </c>
    </row>
    <row r="6" spans="1:9" x14ac:dyDescent="0.25">
      <c r="A6" s="12" t="s">
        <v>39</v>
      </c>
      <c r="B6" s="92">
        <f>'1-MM, cílová struktura'!B6</f>
        <v>180</v>
      </c>
      <c r="C6" s="21">
        <f>'1-MM, cílová struktura'!C6</f>
        <v>190</v>
      </c>
      <c r="D6" s="21">
        <f>'1-MM, cílová struktura'!D6</f>
        <v>200</v>
      </c>
      <c r="E6" s="21">
        <f>'1-MM, cílová struktura'!E6</f>
        <v>200</v>
      </c>
      <c r="G6" s="65" t="s">
        <v>7</v>
      </c>
      <c r="H6" s="93">
        <f>'1-MM, cílová struktura'!H6</f>
        <v>0.2</v>
      </c>
    </row>
    <row r="7" spans="1:9" ht="18.75" x14ac:dyDescent="0.35">
      <c r="A7" s="30" t="s">
        <v>40</v>
      </c>
      <c r="B7" s="26">
        <f>B5+B6</f>
        <v>350</v>
      </c>
      <c r="C7" s="31">
        <f>C5+C6</f>
        <v>360</v>
      </c>
      <c r="D7" s="31">
        <f>D5+D6</f>
        <v>370</v>
      </c>
      <c r="E7" s="31">
        <f>E5+E6</f>
        <v>370</v>
      </c>
      <c r="G7" s="60" t="s">
        <v>34</v>
      </c>
      <c r="H7" s="95">
        <f>'1-MM, cílová struktura'!H7</f>
        <v>0.05</v>
      </c>
    </row>
    <row r="8" spans="1:9" ht="18.75" x14ac:dyDescent="0.35">
      <c r="A8" s="12" t="s">
        <v>42</v>
      </c>
      <c r="B8" s="27">
        <f>$H$7</f>
        <v>0.05</v>
      </c>
      <c r="C8" s="27">
        <f>$H$7</f>
        <v>0.05</v>
      </c>
      <c r="D8" s="27">
        <f>$H$7</f>
        <v>0.05</v>
      </c>
      <c r="E8" s="68">
        <f>$H$7</f>
        <v>0.05</v>
      </c>
      <c r="G8" s="60" t="s">
        <v>35</v>
      </c>
      <c r="H8" s="96">
        <f>'1-MM, cílová struktura'!H8</f>
        <v>0.15</v>
      </c>
    </row>
    <row r="9" spans="1:9" x14ac:dyDescent="0.25">
      <c r="A9" s="13" t="s">
        <v>57</v>
      </c>
      <c r="B9" s="28">
        <f>$H$6</f>
        <v>0.2</v>
      </c>
      <c r="C9" s="28">
        <f>$H$6</f>
        <v>0.2</v>
      </c>
      <c r="D9" s="28">
        <f>$H$6</f>
        <v>0.2</v>
      </c>
      <c r="E9" s="69">
        <f>$H$6</f>
        <v>0.2</v>
      </c>
      <c r="G9" s="61" t="s">
        <v>3</v>
      </c>
      <c r="H9" s="112" t="s">
        <v>66</v>
      </c>
    </row>
    <row r="10" spans="1:9" x14ac:dyDescent="0.25">
      <c r="A10" s="9" t="s">
        <v>15</v>
      </c>
      <c r="B10" s="90">
        <v>60</v>
      </c>
      <c r="C10" s="33">
        <f>B10*1.1</f>
        <v>66</v>
      </c>
      <c r="D10" s="33">
        <f>C10*1.1</f>
        <v>72.600000000000009</v>
      </c>
      <c r="E10" s="33">
        <f>D10</f>
        <v>72.600000000000009</v>
      </c>
      <c r="G10" s="65" t="s">
        <v>36</v>
      </c>
      <c r="H10" s="93">
        <f>'1-MM, cílová struktura'!H10</f>
        <v>0</v>
      </c>
    </row>
    <row r="11" spans="1:9" x14ac:dyDescent="0.25">
      <c r="A11" s="1"/>
      <c r="B11" s="38"/>
      <c r="C11" s="38"/>
      <c r="D11" s="38"/>
      <c r="E11" s="38"/>
      <c r="H11" s="42"/>
    </row>
    <row r="12" spans="1:9" x14ac:dyDescent="0.25">
      <c r="A12" s="57" t="s">
        <v>61</v>
      </c>
    </row>
    <row r="13" spans="1:9" x14ac:dyDescent="0.25">
      <c r="A13" s="17" t="s">
        <v>16</v>
      </c>
      <c r="B13" s="24">
        <f>B10*(1-B9)</f>
        <v>48</v>
      </c>
      <c r="C13" s="24">
        <f>C10*(1-C9)</f>
        <v>52.800000000000004</v>
      </c>
      <c r="D13" s="24">
        <f>D10*(1-D9)</f>
        <v>58.080000000000013</v>
      </c>
      <c r="E13" s="24">
        <f>E10*(1-E9)</f>
        <v>58.080000000000013</v>
      </c>
    </row>
    <row r="14" spans="1:9" x14ac:dyDescent="0.25">
      <c r="A14" s="13" t="s">
        <v>41</v>
      </c>
      <c r="B14" s="14">
        <f>-(C7-B7)</f>
        <v>-10</v>
      </c>
      <c r="C14" s="14">
        <f>-(D7-C7)</f>
        <v>-10</v>
      </c>
      <c r="D14" s="14">
        <f>-(E7-D7)</f>
        <v>0</v>
      </c>
      <c r="E14" s="14">
        <f>-E7*H10</f>
        <v>0</v>
      </c>
    </row>
    <row r="15" spans="1:9" x14ac:dyDescent="0.25">
      <c r="A15" s="30" t="s">
        <v>14</v>
      </c>
      <c r="B15" s="31">
        <f>B13+B14</f>
        <v>38</v>
      </c>
      <c r="C15" s="31">
        <f>C13+C14</f>
        <v>42.800000000000004</v>
      </c>
      <c r="D15" s="31">
        <f>D13+D14</f>
        <v>58.080000000000013</v>
      </c>
      <c r="E15" s="31">
        <f>E13+E14</f>
        <v>58.080000000000013</v>
      </c>
    </row>
    <row r="16" spans="1:9" ht="18.75" x14ac:dyDescent="0.35">
      <c r="A16" s="82" t="s">
        <v>48</v>
      </c>
      <c r="B16" s="10">
        <f>-B8*B5*(1-B9)</f>
        <v>-6.8000000000000007</v>
      </c>
      <c r="C16" s="10">
        <f>-C8*C5*(1-C9)</f>
        <v>-6.8000000000000007</v>
      </c>
      <c r="D16" s="10">
        <f>-D8*D5*(1-D9)</f>
        <v>-6.8000000000000007</v>
      </c>
      <c r="E16" s="10">
        <f>-E8*E5*(1-E9)</f>
        <v>-6.8000000000000007</v>
      </c>
    </row>
    <row r="17" spans="1:5" x14ac:dyDescent="0.25">
      <c r="A17" s="25" t="s">
        <v>11</v>
      </c>
      <c r="B17" s="21">
        <f>C5-B5</f>
        <v>0</v>
      </c>
      <c r="C17" s="21">
        <f>D5-C5</f>
        <v>0</v>
      </c>
      <c r="D17" s="21">
        <f>E5-D5</f>
        <v>0</v>
      </c>
      <c r="E17" s="21">
        <f>E5*H10</f>
        <v>0</v>
      </c>
    </row>
    <row r="18" spans="1:5" x14ac:dyDescent="0.25">
      <c r="A18" s="9" t="s">
        <v>6</v>
      </c>
      <c r="B18" s="90">
        <f>SUM(B15:B17)</f>
        <v>31.2</v>
      </c>
      <c r="C18" s="90">
        <f t="shared" ref="C18:E18" si="0">SUM(C15:C17)</f>
        <v>36</v>
      </c>
      <c r="D18" s="90">
        <f t="shared" si="0"/>
        <v>51.280000000000015</v>
      </c>
      <c r="E18" s="90">
        <f t="shared" si="0"/>
        <v>51.280000000000015</v>
      </c>
    </row>
    <row r="19" spans="1:5" x14ac:dyDescent="0.25">
      <c r="A19" s="1"/>
      <c r="B19" s="38"/>
      <c r="C19" s="38"/>
      <c r="D19" s="38"/>
      <c r="E19" s="44"/>
    </row>
    <row r="20" spans="1:5" x14ac:dyDescent="0.25">
      <c r="A20" s="57" t="s">
        <v>59</v>
      </c>
      <c r="E20" s="2"/>
    </row>
    <row r="21" spans="1:5" x14ac:dyDescent="0.25">
      <c r="A21" s="71" t="s">
        <v>58</v>
      </c>
      <c r="B21" s="100">
        <f ca="1">B31</f>
        <v>0.43346861654439767</v>
      </c>
      <c r="C21" s="19">
        <f ca="1">C31</f>
        <v>0.41675548923470473</v>
      </c>
      <c r="D21" s="19">
        <f ca="1">D31</f>
        <v>0.40360873694207022</v>
      </c>
      <c r="E21" s="19">
        <f ca="1">E31</f>
        <v>0.40360873694207017</v>
      </c>
    </row>
    <row r="22" spans="1:5" x14ac:dyDescent="0.25">
      <c r="A22" s="73" t="s">
        <v>10</v>
      </c>
      <c r="B22" s="101">
        <f ca="1">(1-B21)</f>
        <v>0.56653138345560228</v>
      </c>
      <c r="C22" s="20">
        <f ca="1">(1-C21)</f>
        <v>0.58324451076529527</v>
      </c>
      <c r="D22" s="20">
        <f ca="1">(1-D21)</f>
        <v>0.59639126305792978</v>
      </c>
      <c r="E22" s="20">
        <f ca="1">(1-E21)</f>
        <v>0.59639126305792978</v>
      </c>
    </row>
    <row r="23" spans="1:5" x14ac:dyDescent="0.25">
      <c r="A23" s="73" t="s">
        <v>13</v>
      </c>
      <c r="B23" s="102">
        <f ca="1">B21/B22</f>
        <v>0.76512728015246412</v>
      </c>
      <c r="C23" s="18">
        <f ca="1">C21/C22</f>
        <v>0.71454678362573099</v>
      </c>
      <c r="D23" s="18">
        <f ca="1">D21/D22</f>
        <v>0.6767515923566878</v>
      </c>
      <c r="E23" s="18">
        <f ca="1">E21/E22</f>
        <v>0.67675159235668769</v>
      </c>
    </row>
    <row r="24" spans="1:5" ht="18.75" x14ac:dyDescent="0.35">
      <c r="A24" s="71" t="s">
        <v>60</v>
      </c>
      <c r="B24" s="72">
        <f>B8*(1-B9)</f>
        <v>4.0000000000000008E-2</v>
      </c>
      <c r="C24" s="72">
        <f>C8*(1-C9)</f>
        <v>4.0000000000000008E-2</v>
      </c>
      <c r="D24" s="72">
        <f>D8*(1-D9)</f>
        <v>4.0000000000000008E-2</v>
      </c>
      <c r="E24" s="72">
        <f>E8*(1-E9)</f>
        <v>4.0000000000000008E-2</v>
      </c>
    </row>
    <row r="25" spans="1:5" ht="17.25" x14ac:dyDescent="0.3">
      <c r="A25" s="97" t="s">
        <v>62</v>
      </c>
      <c r="B25" s="98">
        <f ca="1">$H$8+($H$8-B8)*B23*(1-B9)</f>
        <v>0.21121018241219713</v>
      </c>
      <c r="C25" s="98">
        <f ca="1">$H$8+($H$8-C8)*C23*(1-C9)</f>
        <v>0.20716374269005847</v>
      </c>
      <c r="D25" s="98">
        <f ca="1">$H$8+($H$8-D8)*D23*(1-D9)</f>
        <v>0.20414012738853501</v>
      </c>
      <c r="E25" s="98">
        <f ca="1">$H$8+($H$8-E8)*E23*(1-E9)</f>
        <v>0.20414012738853501</v>
      </c>
    </row>
    <row r="26" spans="1:5" x14ac:dyDescent="0.25">
      <c r="A26" s="77" t="s">
        <v>63</v>
      </c>
      <c r="B26" s="104">
        <f ca="1">B24*B21+B25*B22</f>
        <v>0.13699594150366806</v>
      </c>
      <c r="C26" s="104">
        <f t="shared" ref="C26:E26" ca="1" si="1">C24*C21+C25*C22</f>
        <v>0.13749733532295885</v>
      </c>
      <c r="D26" s="104">
        <f t="shared" ca="1" si="1"/>
        <v>0.13789173789173789</v>
      </c>
      <c r="E26" s="104">
        <f t="shared" ca="1" si="1"/>
        <v>0.13789173789173789</v>
      </c>
    </row>
    <row r="27" spans="1:5" x14ac:dyDescent="0.25">
      <c r="A27" s="17" t="s">
        <v>14</v>
      </c>
      <c r="B27" s="24">
        <f>B$15</f>
        <v>38</v>
      </c>
      <c r="C27" s="24">
        <f>C$15</f>
        <v>42.800000000000004</v>
      </c>
      <c r="D27" s="24">
        <f>D$15</f>
        <v>58.080000000000013</v>
      </c>
      <c r="E27" s="24">
        <f>E15</f>
        <v>58.080000000000013</v>
      </c>
    </row>
    <row r="28" spans="1:5" x14ac:dyDescent="0.25">
      <c r="A28" s="15" t="s">
        <v>5</v>
      </c>
      <c r="B28" s="16">
        <f ca="1">(C28+B27)/(1+B26)</f>
        <v>392.18525519848771</v>
      </c>
      <c r="C28" s="16">
        <f ca="1">(D28+C27)/(1+C26)</f>
        <v>407.91304347826087</v>
      </c>
      <c r="D28" s="16">
        <f ca="1">(E28+D27)/(1+D26)</f>
        <v>421.20000000000005</v>
      </c>
      <c r="E28" s="16">
        <f ca="1">E27/(E26-H10)</f>
        <v>421.2000000000001</v>
      </c>
    </row>
    <row r="29" spans="1:5" x14ac:dyDescent="0.25">
      <c r="A29" s="17" t="s">
        <v>38</v>
      </c>
      <c r="B29" s="108">
        <f>B5</f>
        <v>170</v>
      </c>
      <c r="C29" s="108">
        <f>C5</f>
        <v>170</v>
      </c>
      <c r="D29" s="108">
        <f>D5</f>
        <v>170</v>
      </c>
      <c r="E29" s="108">
        <f>E5</f>
        <v>170</v>
      </c>
    </row>
    <row r="30" spans="1:5" x14ac:dyDescent="0.25">
      <c r="A30" s="80" t="s">
        <v>49</v>
      </c>
      <c r="B30" s="81">
        <f ca="1">B28-B29</f>
        <v>222.18525519848771</v>
      </c>
      <c r="C30" s="37">
        <f t="shared" ref="C30:E30" ca="1" si="2">C28-C29</f>
        <v>237.91304347826087</v>
      </c>
      <c r="D30" s="37">
        <f t="shared" ca="1" si="2"/>
        <v>251.20000000000005</v>
      </c>
      <c r="E30" s="37">
        <f t="shared" ca="1" si="2"/>
        <v>251.2000000000001</v>
      </c>
    </row>
    <row r="31" spans="1:5" ht="18.75" x14ac:dyDescent="0.35">
      <c r="A31" s="13" t="s">
        <v>46</v>
      </c>
      <c r="B31" s="32">
        <f ca="1">B29/B28</f>
        <v>0.43346861654439767</v>
      </c>
      <c r="C31" s="32">
        <f t="shared" ref="C31:E31" ca="1" si="3">C29/C28</f>
        <v>0.41675548923470473</v>
      </c>
      <c r="D31" s="32">
        <f t="shared" ca="1" si="3"/>
        <v>0.40360873694207022</v>
      </c>
      <c r="E31" s="32">
        <f t="shared" ca="1" si="3"/>
        <v>0.40360873694207017</v>
      </c>
    </row>
    <row r="33" spans="1:5" x14ac:dyDescent="0.25">
      <c r="A33" s="57" t="s">
        <v>67</v>
      </c>
    </row>
    <row r="34" spans="1:5" x14ac:dyDescent="0.25">
      <c r="A34" s="17" t="s">
        <v>6</v>
      </c>
      <c r="B34" s="24">
        <f>B18</f>
        <v>31.2</v>
      </c>
      <c r="C34" s="24">
        <f t="shared" ref="C34:E34" si="4">C18</f>
        <v>36</v>
      </c>
      <c r="D34" s="24">
        <f t="shared" si="4"/>
        <v>51.280000000000015</v>
      </c>
      <c r="E34" s="24">
        <f t="shared" si="4"/>
        <v>51.280000000000015</v>
      </c>
    </row>
    <row r="35" spans="1:5" ht="17.25" x14ac:dyDescent="0.3">
      <c r="A35" s="97" t="s">
        <v>62</v>
      </c>
      <c r="B35" s="103">
        <f ca="1">B25</f>
        <v>0.21121018241219713</v>
      </c>
      <c r="C35" s="103">
        <f ca="1">C25</f>
        <v>0.20716374269005847</v>
      </c>
      <c r="D35" s="103">
        <f ca="1">D25</f>
        <v>0.20414012738853501</v>
      </c>
      <c r="E35" s="103">
        <f ca="1">E25</f>
        <v>0.20414012738853501</v>
      </c>
    </row>
    <row r="36" spans="1:5" x14ac:dyDescent="0.25">
      <c r="A36" s="83" t="s">
        <v>49</v>
      </c>
      <c r="B36" s="106">
        <f ca="1">(C36+B34)/(1+B35)</f>
        <v>222.18525519848774</v>
      </c>
      <c r="C36" s="107">
        <f ca="1">(D36+C34)/(1+C35)</f>
        <v>237.91304347826093</v>
      </c>
      <c r="D36" s="107">
        <f ca="1">(E36+D34)/(1+D35)</f>
        <v>251.2000000000001</v>
      </c>
      <c r="E36" s="107">
        <f ca="1">E34/(E35-H10)</f>
        <v>251.2000000000001</v>
      </c>
    </row>
    <row r="37" spans="1:5" x14ac:dyDescent="0.25">
      <c r="A37" s="7"/>
    </row>
    <row r="38" spans="1:5" x14ac:dyDescent="0.25">
      <c r="A38" s="57" t="s">
        <v>64</v>
      </c>
      <c r="B38" s="3"/>
      <c r="C38" s="3"/>
      <c r="D38" s="3"/>
    </row>
    <row r="39" spans="1:5" ht="17.25" x14ac:dyDescent="0.3">
      <c r="A39" s="75" t="s">
        <v>53</v>
      </c>
      <c r="B39" s="76">
        <f>$H$8</f>
        <v>0.15</v>
      </c>
      <c r="C39" s="76">
        <f>$H$8</f>
        <v>0.15</v>
      </c>
      <c r="D39" s="76">
        <f>$H$8</f>
        <v>0.15</v>
      </c>
      <c r="E39" s="76">
        <f>$H$8</f>
        <v>0.15</v>
      </c>
    </row>
    <row r="40" spans="1:5" x14ac:dyDescent="0.25">
      <c r="A40" s="12" t="s">
        <v>14</v>
      </c>
      <c r="B40" s="21">
        <f>B15</f>
        <v>38</v>
      </c>
      <c r="C40" s="21">
        <f t="shared" ref="C40:E40" si="5">C15</f>
        <v>42.800000000000004</v>
      </c>
      <c r="D40" s="21">
        <f t="shared" si="5"/>
        <v>58.080000000000013</v>
      </c>
      <c r="E40" s="21">
        <f t="shared" si="5"/>
        <v>58.080000000000013</v>
      </c>
    </row>
    <row r="41" spans="1:5" x14ac:dyDescent="0.25">
      <c r="A41" s="86" t="s">
        <v>51</v>
      </c>
      <c r="B41" s="21">
        <f>(C41+B40)/(1+B39)</f>
        <v>358.18525519848782</v>
      </c>
      <c r="C41" s="21">
        <f>(D41+C40)/(1+C39)</f>
        <v>373.91304347826099</v>
      </c>
      <c r="D41" s="21">
        <f>(E41+D40)/(1+D39)</f>
        <v>387.2000000000001</v>
      </c>
      <c r="E41" s="10">
        <f>E40/(E39-$H$10)</f>
        <v>387.2000000000001</v>
      </c>
    </row>
    <row r="42" spans="1:5" ht="18.75" x14ac:dyDescent="0.35">
      <c r="A42" s="82" t="s">
        <v>52</v>
      </c>
      <c r="B42" s="29">
        <f>B8</f>
        <v>0.05</v>
      </c>
      <c r="C42" s="29">
        <f>C8</f>
        <v>0.05</v>
      </c>
      <c r="D42" s="29">
        <f>D8</f>
        <v>0.05</v>
      </c>
      <c r="E42" s="29">
        <f>E8</f>
        <v>0.05</v>
      </c>
    </row>
    <row r="43" spans="1:5" x14ac:dyDescent="0.25">
      <c r="A43" s="82" t="s">
        <v>50</v>
      </c>
      <c r="B43" s="21">
        <f>B8*B5*B9</f>
        <v>1.7000000000000002</v>
      </c>
      <c r="C43" s="21">
        <f>C8*C5*C9</f>
        <v>1.7000000000000002</v>
      </c>
      <c r="D43" s="21">
        <f>D8*D5*D9</f>
        <v>1.7000000000000002</v>
      </c>
      <c r="E43" s="21">
        <f>E8*E5*E9</f>
        <v>1.7000000000000002</v>
      </c>
    </row>
    <row r="44" spans="1:5" x14ac:dyDescent="0.25">
      <c r="A44" s="13" t="s">
        <v>137</v>
      </c>
      <c r="B44" s="34">
        <f>(C44+B43)/(1+B42)</f>
        <v>34</v>
      </c>
      <c r="C44" s="14">
        <f>(D44+C43)/(1+C42)</f>
        <v>34</v>
      </c>
      <c r="D44" s="14">
        <f>(E44+D43)/(1+D42)</f>
        <v>34</v>
      </c>
      <c r="E44" s="14">
        <f>E43/(E42-$H$10)</f>
        <v>34</v>
      </c>
    </row>
    <row r="45" spans="1:5" x14ac:dyDescent="0.25">
      <c r="A45" s="35" t="s">
        <v>9</v>
      </c>
      <c r="B45" s="36">
        <f>B41+B44</f>
        <v>392.18525519848782</v>
      </c>
      <c r="C45" s="36">
        <f>C41+C44</f>
        <v>407.91304347826099</v>
      </c>
      <c r="D45" s="36">
        <f>D41+D44</f>
        <v>421.2000000000001</v>
      </c>
      <c r="E45" s="36">
        <f>E41+E44</f>
        <v>421.2000000000001</v>
      </c>
    </row>
    <row r="46" spans="1:5" x14ac:dyDescent="0.25">
      <c r="A46" s="40" t="s">
        <v>2</v>
      </c>
      <c r="B46" s="41">
        <f>B5</f>
        <v>170</v>
      </c>
      <c r="C46" s="41">
        <f>C5</f>
        <v>170</v>
      </c>
      <c r="D46" s="41">
        <f>D5</f>
        <v>170</v>
      </c>
      <c r="E46" s="41">
        <f>E5</f>
        <v>170</v>
      </c>
    </row>
    <row r="47" spans="1:5" x14ac:dyDescent="0.25">
      <c r="A47" s="83" t="s">
        <v>49</v>
      </c>
      <c r="B47" s="105">
        <f>B45-B46</f>
        <v>222.18525519848782</v>
      </c>
      <c r="C47" s="85">
        <f t="shared" ref="C47:E47" si="6">C45-C46</f>
        <v>237.91304347826099</v>
      </c>
      <c r="D47" s="85">
        <f t="shared" si="6"/>
        <v>251.2000000000001</v>
      </c>
      <c r="E47" s="85">
        <f t="shared" si="6"/>
        <v>251.2000000000001</v>
      </c>
    </row>
    <row r="48" spans="1:5" x14ac:dyDescent="0.25">
      <c r="B48" s="8"/>
      <c r="C48" s="1"/>
      <c r="D48" s="1"/>
      <c r="E48" s="8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</sheetData>
  <phoneticPr fontId="10" type="noConversion"/>
  <hyperlinks>
    <hyperlink ref="I1" location="Úvod!A31" display="Skok na obsah" xr:uid="{1344AD7F-C75C-455E-837F-8293E3C1F755}"/>
  </hyperlinks>
  <printOptions gridLinesSet="0"/>
  <pageMargins left="0.78740157480314965" right="0.78740157480314965" top="0.98425196850393704" bottom="0.78740157480314965" header="0.51181102362204722" footer="0.51181102362204722"/>
  <pageSetup paperSize="9" scale="79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rowBreaks count="1" manualBreakCount="1">
    <brk id="49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7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10.625" customWidth="1"/>
  </cols>
  <sheetData>
    <row r="1" spans="1:9" ht="18.75" x14ac:dyDescent="0.3">
      <c r="A1" s="53" t="s">
        <v>68</v>
      </c>
      <c r="B1" s="54" t="s">
        <v>71</v>
      </c>
      <c r="I1" s="172" t="s">
        <v>164</v>
      </c>
    </row>
    <row r="2" spans="1:9" x14ac:dyDescent="0.25">
      <c r="B2" s="54" t="s">
        <v>56</v>
      </c>
    </row>
    <row r="3" spans="1:9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</row>
    <row r="4" spans="1:9" ht="17.25" x14ac:dyDescent="0.3">
      <c r="A4" s="57" t="s">
        <v>69</v>
      </c>
    </row>
    <row r="5" spans="1:9" x14ac:dyDescent="0.25">
      <c r="A5" s="17" t="s">
        <v>38</v>
      </c>
      <c r="B5" s="117">
        <v>170</v>
      </c>
      <c r="C5" s="70">
        <v>180</v>
      </c>
      <c r="D5" s="70">
        <v>190</v>
      </c>
      <c r="E5" s="70">
        <v>210</v>
      </c>
      <c r="G5" s="1" t="s">
        <v>37</v>
      </c>
      <c r="H5" s="87"/>
    </row>
    <row r="6" spans="1:9" ht="18.75" x14ac:dyDescent="0.35">
      <c r="A6" s="12" t="s">
        <v>39</v>
      </c>
      <c r="B6" s="118">
        <v>180</v>
      </c>
      <c r="C6" s="66">
        <v>190</v>
      </c>
      <c r="D6" s="66">
        <v>200</v>
      </c>
      <c r="E6" s="66">
        <v>200</v>
      </c>
      <c r="G6" s="17" t="s">
        <v>35</v>
      </c>
      <c r="H6" s="94">
        <f>'2-MM, stabilita, iterace'!H8</f>
        <v>0.15</v>
      </c>
    </row>
    <row r="7" spans="1:9" x14ac:dyDescent="0.25">
      <c r="A7" s="30" t="s">
        <v>40</v>
      </c>
      <c r="B7" s="26">
        <f>B5+B6</f>
        <v>350</v>
      </c>
      <c r="C7" s="31">
        <f>C5+C6</f>
        <v>370</v>
      </c>
      <c r="D7" s="31">
        <f>D5+D6</f>
        <v>390</v>
      </c>
      <c r="E7" s="31">
        <f>E5+E6</f>
        <v>410</v>
      </c>
      <c r="G7" s="13" t="s">
        <v>8</v>
      </c>
      <c r="H7" s="64">
        <v>0.03</v>
      </c>
    </row>
    <row r="8" spans="1:9" ht="18.75" x14ac:dyDescent="0.35">
      <c r="A8" s="12" t="s">
        <v>42</v>
      </c>
      <c r="B8" s="115">
        <v>0.03</v>
      </c>
      <c r="C8" s="115">
        <v>0.05</v>
      </c>
      <c r="D8" s="115">
        <v>0.06</v>
      </c>
      <c r="E8" s="116">
        <v>7.0000000000000007E-2</v>
      </c>
    </row>
    <row r="9" spans="1:9" x14ac:dyDescent="0.25">
      <c r="A9" s="13" t="s">
        <v>57</v>
      </c>
      <c r="B9" s="113">
        <v>0.2</v>
      </c>
      <c r="C9" s="113">
        <v>0.19</v>
      </c>
      <c r="D9" s="113">
        <v>0.19</v>
      </c>
      <c r="E9" s="114">
        <v>0.18</v>
      </c>
      <c r="G9" s="58"/>
      <c r="H9" s="88"/>
    </row>
    <row r="10" spans="1:9" x14ac:dyDescent="0.25">
      <c r="A10" s="9" t="s">
        <v>15</v>
      </c>
      <c r="B10" s="90">
        <v>60</v>
      </c>
      <c r="C10" s="33">
        <f>B10*1.1</f>
        <v>66</v>
      </c>
      <c r="D10" s="33">
        <f>C10*1.1</f>
        <v>72.600000000000009</v>
      </c>
      <c r="E10" s="33">
        <f>D10*(1+H7)</f>
        <v>74.778000000000006</v>
      </c>
    </row>
    <row r="12" spans="1:9" x14ac:dyDescent="0.25">
      <c r="A12" s="57" t="s">
        <v>61</v>
      </c>
    </row>
    <row r="13" spans="1:9" x14ac:dyDescent="0.25">
      <c r="A13" s="17" t="s">
        <v>16</v>
      </c>
      <c r="B13" s="91">
        <f>B10*(1-B9)</f>
        <v>48</v>
      </c>
      <c r="C13" s="24">
        <f>C10*(1-C9)</f>
        <v>53.46</v>
      </c>
      <c r="D13" s="24">
        <f>D10*(1-D9)</f>
        <v>58.806000000000012</v>
      </c>
      <c r="E13" s="24">
        <f>E10*(1-E9)</f>
        <v>61.317960000000006</v>
      </c>
    </row>
    <row r="14" spans="1:9" x14ac:dyDescent="0.25">
      <c r="A14" s="13" t="s">
        <v>41</v>
      </c>
      <c r="B14" s="34">
        <f>-(C7-B7)</f>
        <v>-20</v>
      </c>
      <c r="C14" s="14">
        <f>-(D7-C7)</f>
        <v>-20</v>
      </c>
      <c r="D14" s="14">
        <f>-(E7-D7)</f>
        <v>-20</v>
      </c>
      <c r="E14" s="14">
        <f>-E7*H7</f>
        <v>-12.299999999999999</v>
      </c>
    </row>
    <row r="15" spans="1:9" x14ac:dyDescent="0.25">
      <c r="A15" s="30" t="s">
        <v>14</v>
      </c>
      <c r="B15" s="26">
        <f>B13+B14</f>
        <v>28</v>
      </c>
      <c r="C15" s="31">
        <f>C13+C14</f>
        <v>33.46</v>
      </c>
      <c r="D15" s="31">
        <f>D13+D14</f>
        <v>38.806000000000012</v>
      </c>
      <c r="E15" s="31">
        <f>E13+E14</f>
        <v>49.017960000000009</v>
      </c>
    </row>
    <row r="16" spans="1:9" ht="18.75" x14ac:dyDescent="0.35">
      <c r="A16" s="82" t="s">
        <v>48</v>
      </c>
      <c r="B16" s="92">
        <f>-B8*B5*(1-B9)</f>
        <v>-4.08</v>
      </c>
      <c r="C16" s="21">
        <f>-C8*C5*(1-C9)</f>
        <v>-7.2900000000000009</v>
      </c>
      <c r="D16" s="21">
        <f>-D8*D5*(1-D9)</f>
        <v>-9.2340000000000018</v>
      </c>
      <c r="E16" s="21">
        <f>-E8*E5*(1-E9)</f>
        <v>-12.054000000000002</v>
      </c>
    </row>
    <row r="17" spans="1:9" x14ac:dyDescent="0.25">
      <c r="A17" s="25" t="s">
        <v>11</v>
      </c>
      <c r="B17" s="92">
        <f>C5-B5</f>
        <v>10</v>
      </c>
      <c r="C17" s="21">
        <f>D5-C5</f>
        <v>10</v>
      </c>
      <c r="D17" s="21">
        <f>E5-D5</f>
        <v>20</v>
      </c>
      <c r="E17" s="21">
        <f>E5*H7</f>
        <v>6.3</v>
      </c>
    </row>
    <row r="18" spans="1:9" x14ac:dyDescent="0.25">
      <c r="A18" s="9" t="s">
        <v>6</v>
      </c>
      <c r="B18" s="99">
        <f>SUM(B15:B17)</f>
        <v>33.92</v>
      </c>
      <c r="C18" s="99">
        <f t="shared" ref="C18:E18" si="0">SUM(C15:C17)</f>
        <v>36.17</v>
      </c>
      <c r="D18" s="99">
        <f t="shared" si="0"/>
        <v>49.57200000000001</v>
      </c>
      <c r="E18" s="90">
        <f t="shared" si="0"/>
        <v>43.263960000000004</v>
      </c>
    </row>
    <row r="19" spans="1:9" x14ac:dyDescent="0.25">
      <c r="A19" s="5"/>
      <c r="B19" s="6"/>
      <c r="C19" s="6"/>
      <c r="D19" s="6"/>
    </row>
    <row r="20" spans="1:9" x14ac:dyDescent="0.25">
      <c r="A20" s="57" t="s">
        <v>59</v>
      </c>
      <c r="B20" s="6"/>
      <c r="C20" s="6"/>
      <c r="D20" s="6"/>
    </row>
    <row r="21" spans="1:9" x14ac:dyDescent="0.25">
      <c r="A21" s="71" t="s">
        <v>58</v>
      </c>
      <c r="B21" s="100">
        <f ca="1">B31</f>
        <v>0.43962857114922482</v>
      </c>
      <c r="C21" s="19">
        <f ca="1">C31</f>
        <v>0.43732461317301458</v>
      </c>
      <c r="D21" s="19">
        <f ca="1">D31</f>
        <v>0.43704020769910823</v>
      </c>
      <c r="E21" s="19">
        <f ca="1">E31</f>
        <v>0.46079612404631654</v>
      </c>
    </row>
    <row r="22" spans="1:9" x14ac:dyDescent="0.25">
      <c r="A22" s="73" t="s">
        <v>10</v>
      </c>
      <c r="B22" s="101">
        <f ca="1">(1-B21)</f>
        <v>0.56037142885077518</v>
      </c>
      <c r="C22" s="20">
        <f ca="1">(1-C21)</f>
        <v>0.56267538682698537</v>
      </c>
      <c r="D22" s="20">
        <f ca="1">(1-D21)</f>
        <v>0.56295979230089177</v>
      </c>
      <c r="E22" s="20">
        <f ca="1">(1-E21)</f>
        <v>0.53920387595368346</v>
      </c>
    </row>
    <row r="23" spans="1:9" x14ac:dyDescent="0.25">
      <c r="A23" s="73" t="s">
        <v>13</v>
      </c>
      <c r="B23" s="102">
        <f ca="1">B21/B22</f>
        <v>0.78453066754460865</v>
      </c>
      <c r="C23" s="18">
        <f ca="1">C21/C22</f>
        <v>0.77722364157273083</v>
      </c>
      <c r="D23" s="18">
        <f ca="1">D21/D22</f>
        <v>0.77632579391303702</v>
      </c>
      <c r="E23" s="18">
        <f ca="1">E21/E22</f>
        <v>0.85458607513032414</v>
      </c>
    </row>
    <row r="24" spans="1:9" ht="18.75" x14ac:dyDescent="0.35">
      <c r="A24" s="71" t="s">
        <v>60</v>
      </c>
      <c r="B24" s="72">
        <f>B8*(1-B9)</f>
        <v>2.4E-2</v>
      </c>
      <c r="C24" s="72">
        <f t="shared" ref="C24:E24" si="1">C8*(1-C9)</f>
        <v>4.0500000000000008E-2</v>
      </c>
      <c r="D24" s="72">
        <f t="shared" si="1"/>
        <v>4.8600000000000004E-2</v>
      </c>
      <c r="E24" s="72">
        <f t="shared" si="1"/>
        <v>5.7400000000000007E-2</v>
      </c>
    </row>
    <row r="25" spans="1:9" ht="17.25" x14ac:dyDescent="0.3">
      <c r="A25" s="97" t="s">
        <v>62</v>
      </c>
      <c r="B25" s="98">
        <f ca="1">$H$6+($H$6-B8)*B23*(1-B9)</f>
        <v>0.22531494408428243</v>
      </c>
      <c r="C25" s="98">
        <f ca="1">$H$6+($H$6-C8)*C23*(1-C9)</f>
        <v>0.21295511496739117</v>
      </c>
      <c r="D25" s="98">
        <f ca="1">$H$6+($H$6-D8)*D23*(1-D9)</f>
        <v>0.20659415037626039</v>
      </c>
      <c r="E25" s="98">
        <f ca="1">$H$6+($H$6-E8)*E23*(1-E9)</f>
        <v>0.20606084652854925</v>
      </c>
    </row>
    <row r="26" spans="1:9" x14ac:dyDescent="0.25">
      <c r="A26" s="77" t="s">
        <v>63</v>
      </c>
      <c r="B26" s="104">
        <f ca="1">B24*B21+B25*B22</f>
        <v>0.13681114286552326</v>
      </c>
      <c r="C26" s="104">
        <f ca="1">C24*C21+C25*C22</f>
        <v>0.13753624852456905</v>
      </c>
      <c r="D26" s="104">
        <f ca="1">D24*D21+D25*D22</f>
        <v>0.13754435408057542</v>
      </c>
      <c r="E26" s="104">
        <f ca="1">E24*E21+E25*E22</f>
        <v>0.13755850465074945</v>
      </c>
    </row>
    <row r="27" spans="1:9" x14ac:dyDescent="0.25">
      <c r="A27" s="17" t="s">
        <v>14</v>
      </c>
      <c r="B27" s="24">
        <f>B$15</f>
        <v>28</v>
      </c>
      <c r="C27" s="24">
        <f>C$15</f>
        <v>33.46</v>
      </c>
      <c r="D27" s="24">
        <f>D$15</f>
        <v>38.806000000000012</v>
      </c>
      <c r="E27" s="24">
        <f>E15</f>
        <v>49.017960000000009</v>
      </c>
    </row>
    <row r="28" spans="1:9" x14ac:dyDescent="0.25">
      <c r="A28" s="15" t="s">
        <v>5</v>
      </c>
      <c r="B28" s="16">
        <f ca="1">(C28+B27)/(1+B26)</f>
        <v>386.69006328593747</v>
      </c>
      <c r="C28" s="16">
        <f ca="1">(D28+C27)/(1+C26)</f>
        <v>411.59357277882805</v>
      </c>
      <c r="D28" s="16">
        <f ca="1">(E28+D27)/(1+D26)</f>
        <v>434.74260869565228</v>
      </c>
      <c r="E28" s="16">
        <f ca="1">E27/(E26-H7)</f>
        <v>455.73300000000006</v>
      </c>
    </row>
    <row r="29" spans="1:9" x14ac:dyDescent="0.25">
      <c r="A29" s="17" t="s">
        <v>38</v>
      </c>
      <c r="B29" s="108">
        <f>B5</f>
        <v>170</v>
      </c>
      <c r="C29" s="108">
        <f>C5</f>
        <v>180</v>
      </c>
      <c r="D29" s="108">
        <f>D5</f>
        <v>190</v>
      </c>
      <c r="E29" s="108">
        <f>E5</f>
        <v>210</v>
      </c>
    </row>
    <row r="30" spans="1:9" x14ac:dyDescent="0.25">
      <c r="A30" s="80" t="s">
        <v>49</v>
      </c>
      <c r="B30" s="81">
        <f ca="1">B28-B29</f>
        <v>216.69006328593747</v>
      </c>
      <c r="C30" s="37">
        <f t="shared" ref="C30:E30" ca="1" si="2">C28-C29</f>
        <v>231.59357277882805</v>
      </c>
      <c r="D30" s="37">
        <f t="shared" ca="1" si="2"/>
        <v>244.74260869565228</v>
      </c>
      <c r="E30" s="37">
        <f t="shared" ca="1" si="2"/>
        <v>245.73300000000006</v>
      </c>
      <c r="I30" s="4"/>
    </row>
    <row r="31" spans="1:9" ht="18.75" x14ac:dyDescent="0.35">
      <c r="A31" s="13" t="s">
        <v>46</v>
      </c>
      <c r="B31" s="32">
        <f ca="1">B29/B28</f>
        <v>0.43962857114922482</v>
      </c>
      <c r="C31" s="32">
        <f t="shared" ref="C31:E31" ca="1" si="3">C29/C28</f>
        <v>0.43732461317301458</v>
      </c>
      <c r="D31" s="32">
        <f t="shared" ca="1" si="3"/>
        <v>0.43704020769910823</v>
      </c>
      <c r="E31" s="32">
        <f t="shared" ca="1" si="3"/>
        <v>0.46079612404631654</v>
      </c>
      <c r="I31" s="4"/>
    </row>
    <row r="33" spans="1:9" x14ac:dyDescent="0.25">
      <c r="A33" s="57" t="s">
        <v>67</v>
      </c>
    </row>
    <row r="34" spans="1:9" x14ac:dyDescent="0.25">
      <c r="A34" s="17" t="s">
        <v>6</v>
      </c>
      <c r="B34" s="24">
        <f>B18</f>
        <v>33.92</v>
      </c>
      <c r="C34" s="24">
        <f t="shared" ref="C34:E34" si="4">C18</f>
        <v>36.17</v>
      </c>
      <c r="D34" s="24">
        <f t="shared" si="4"/>
        <v>49.57200000000001</v>
      </c>
      <c r="E34" s="24">
        <f t="shared" si="4"/>
        <v>43.263960000000004</v>
      </c>
    </row>
    <row r="35" spans="1:9" ht="17.25" x14ac:dyDescent="0.3">
      <c r="A35" s="97" t="s">
        <v>62</v>
      </c>
      <c r="B35" s="103">
        <f ca="1">B25</f>
        <v>0.22531494408428243</v>
      </c>
      <c r="C35" s="103">
        <f ca="1">C25</f>
        <v>0.21295511496739117</v>
      </c>
      <c r="D35" s="103">
        <f ca="1">D25</f>
        <v>0.20659415037626039</v>
      </c>
      <c r="E35" s="103">
        <f ca="1">E25</f>
        <v>0.20606084652854925</v>
      </c>
    </row>
    <row r="36" spans="1:9" x14ac:dyDescent="0.25">
      <c r="A36" s="83" t="s">
        <v>49</v>
      </c>
      <c r="B36" s="106">
        <f ca="1">(C36+B34)/(1+B35)</f>
        <v>216.69006328593747</v>
      </c>
      <c r="C36" s="107">
        <f ca="1">(D36+C34)/(1+C35)</f>
        <v>231.59357277882805</v>
      </c>
      <c r="D36" s="107">
        <f ca="1">(E36+D34)/(1+D35)</f>
        <v>244.74260869565225</v>
      </c>
      <c r="E36" s="107">
        <f ca="1">E34/(E35-H7)</f>
        <v>245.73300000000006</v>
      </c>
    </row>
    <row r="37" spans="1:9" x14ac:dyDescent="0.25">
      <c r="A37" s="7"/>
    </row>
    <row r="38" spans="1:9" x14ac:dyDescent="0.25">
      <c r="A38" s="57" t="s">
        <v>64</v>
      </c>
      <c r="B38" s="3"/>
      <c r="C38" s="3"/>
      <c r="D38" s="3"/>
    </row>
    <row r="39" spans="1:9" ht="17.25" x14ac:dyDescent="0.3">
      <c r="A39" s="75" t="s">
        <v>53</v>
      </c>
      <c r="B39" s="76">
        <f>$H$6</f>
        <v>0.15</v>
      </c>
      <c r="C39" s="76">
        <f>$H$6</f>
        <v>0.15</v>
      </c>
      <c r="D39" s="76">
        <f>$H$6</f>
        <v>0.15</v>
      </c>
      <c r="E39" s="76">
        <f>$H$6</f>
        <v>0.15</v>
      </c>
    </row>
    <row r="40" spans="1:9" x14ac:dyDescent="0.25">
      <c r="A40" s="12" t="s">
        <v>14</v>
      </c>
      <c r="B40" s="21">
        <f>B15</f>
        <v>28</v>
      </c>
      <c r="C40" s="21">
        <f t="shared" ref="C40:E40" si="5">C15</f>
        <v>33.46</v>
      </c>
      <c r="D40" s="21">
        <f t="shared" si="5"/>
        <v>38.806000000000012</v>
      </c>
      <c r="E40" s="21">
        <f t="shared" si="5"/>
        <v>49.017960000000009</v>
      </c>
    </row>
    <row r="41" spans="1:9" x14ac:dyDescent="0.25">
      <c r="A41" s="86" t="s">
        <v>51</v>
      </c>
      <c r="B41" s="21">
        <f>(C41+B40)/(1+B39)</f>
        <v>343.74817128297866</v>
      </c>
      <c r="C41" s="21">
        <f>(D41+C40)/(1+C39)</f>
        <v>367.31039697542542</v>
      </c>
      <c r="D41" s="21">
        <f>(E41+D40)/(1+D39)</f>
        <v>388.94695652173925</v>
      </c>
      <c r="E41" s="21">
        <f>E40/(E39-$H$7)</f>
        <v>408.48300000000012</v>
      </c>
    </row>
    <row r="42" spans="1:9" ht="18.75" x14ac:dyDescent="0.35">
      <c r="A42" s="82" t="s">
        <v>52</v>
      </c>
      <c r="B42" s="29">
        <f>B8</f>
        <v>0.03</v>
      </c>
      <c r="C42" s="29">
        <f>C8</f>
        <v>0.05</v>
      </c>
      <c r="D42" s="29">
        <f>D8</f>
        <v>0.06</v>
      </c>
      <c r="E42" s="29">
        <f>E8</f>
        <v>7.0000000000000007E-2</v>
      </c>
    </row>
    <row r="43" spans="1:9" x14ac:dyDescent="0.25">
      <c r="A43" s="82" t="s">
        <v>50</v>
      </c>
      <c r="B43" s="21">
        <f>B8*B5*B9</f>
        <v>1.02</v>
      </c>
      <c r="C43" s="21">
        <f>C8*C5*C9</f>
        <v>1.71</v>
      </c>
      <c r="D43" s="21">
        <f>D8*D5*D9</f>
        <v>2.1659999999999999</v>
      </c>
      <c r="E43" s="21">
        <f>E8*E5*E9</f>
        <v>2.6459999999999999</v>
      </c>
    </row>
    <row r="44" spans="1:9" x14ac:dyDescent="0.25">
      <c r="A44" s="13" t="s">
        <v>137</v>
      </c>
      <c r="B44" s="34">
        <f>(C44+B43)/(1+B42)</f>
        <v>62.163713919346797</v>
      </c>
      <c r="C44" s="14">
        <f>(D44+C43)/(1+C42)</f>
        <v>63.008625336927203</v>
      </c>
      <c r="D44" s="14">
        <f>(E44+D43)/(1+D42)</f>
        <v>64.44905660377357</v>
      </c>
      <c r="E44" s="14">
        <f>E43/(E42-$H$7)</f>
        <v>66.149999999999991</v>
      </c>
    </row>
    <row r="45" spans="1:9" x14ac:dyDescent="0.25">
      <c r="A45" s="35" t="s">
        <v>9</v>
      </c>
      <c r="B45" s="36">
        <f>B41+B44</f>
        <v>405.91188520232544</v>
      </c>
      <c r="C45" s="36">
        <f>C41+C44</f>
        <v>430.31902231235262</v>
      </c>
      <c r="D45" s="36">
        <f>D41+D44</f>
        <v>453.39601312551281</v>
      </c>
      <c r="E45" s="36">
        <f>E41+E44</f>
        <v>474.6330000000001</v>
      </c>
    </row>
    <row r="46" spans="1:9" x14ac:dyDescent="0.25">
      <c r="A46" s="40" t="s">
        <v>2</v>
      </c>
      <c r="B46" s="41">
        <f>B5</f>
        <v>170</v>
      </c>
      <c r="C46" s="41">
        <f t="shared" ref="C46:E46" si="6">C5</f>
        <v>180</v>
      </c>
      <c r="D46" s="41">
        <f t="shared" si="6"/>
        <v>190</v>
      </c>
      <c r="E46" s="41">
        <f t="shared" si="6"/>
        <v>210</v>
      </c>
    </row>
    <row r="47" spans="1:9" x14ac:dyDescent="0.25">
      <c r="A47" s="83" t="s">
        <v>49</v>
      </c>
      <c r="B47" s="105">
        <f>B45-B46</f>
        <v>235.91188520232544</v>
      </c>
      <c r="C47" s="85">
        <f t="shared" ref="C47:E47" si="7">C45-C46</f>
        <v>250.31902231235262</v>
      </c>
      <c r="D47" s="85">
        <f t="shared" si="7"/>
        <v>263.39601312551281</v>
      </c>
      <c r="E47" s="85">
        <f t="shared" si="7"/>
        <v>264.6330000000001</v>
      </c>
      <c r="I47" s="4"/>
    </row>
    <row r="48" spans="1:9" x14ac:dyDescent="0.25">
      <c r="B48" s="8"/>
      <c r="C48" s="1"/>
      <c r="D48" s="1"/>
      <c r="E48" s="8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</sheetData>
  <phoneticPr fontId="10" type="noConversion"/>
  <hyperlinks>
    <hyperlink ref="I1" location="Úvod!A31" display="Skok na obsah" xr:uid="{CF99C304-7DF9-469E-92B7-ABF02176890D}"/>
  </hyperlinks>
  <printOptions gridLinesSet="0"/>
  <pageMargins left="0.78740157480314965" right="0.78740157480314965" top="0.98425196850393704" bottom="0.78740157480314965" header="0.51181102362204722" footer="0.51181102362204722"/>
  <pageSetup paperSize="9" scale="79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rowBreaks count="1" manualBreakCount="1">
    <brk id="49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2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10.625" customWidth="1"/>
  </cols>
  <sheetData>
    <row r="1" spans="1:9" ht="18.75" x14ac:dyDescent="0.3">
      <c r="A1" s="53" t="s">
        <v>70</v>
      </c>
      <c r="B1" s="54" t="s">
        <v>71</v>
      </c>
      <c r="I1" s="172" t="s">
        <v>164</v>
      </c>
    </row>
    <row r="2" spans="1:9" x14ac:dyDescent="0.25">
      <c r="B2" s="54" t="s">
        <v>72</v>
      </c>
    </row>
    <row r="3" spans="1:9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F3" s="120"/>
    </row>
    <row r="4" spans="1:9" x14ac:dyDescent="0.25">
      <c r="A4" s="57" t="s">
        <v>75</v>
      </c>
    </row>
    <row r="5" spans="1:9" x14ac:dyDescent="0.25">
      <c r="A5" s="17" t="s">
        <v>38</v>
      </c>
      <c r="B5" s="91">
        <f>'3 -MM, růst, iterace'!B5</f>
        <v>170</v>
      </c>
      <c r="C5" s="24">
        <f>'3 -MM, růst, iterace'!C5</f>
        <v>180</v>
      </c>
      <c r="D5" s="24">
        <f>'3 -MM, růst, iterace'!D5</f>
        <v>190</v>
      </c>
      <c r="E5" s="24">
        <f>'3 -MM, růst, iterace'!E5</f>
        <v>210</v>
      </c>
      <c r="F5" s="39"/>
      <c r="G5" s="1" t="s">
        <v>37</v>
      </c>
      <c r="H5" s="87"/>
    </row>
    <row r="6" spans="1:9" ht="18.75" x14ac:dyDescent="0.35">
      <c r="A6" s="13" t="s">
        <v>39</v>
      </c>
      <c r="B6" s="34">
        <f>'3 -MM, růst, iterace'!B6</f>
        <v>180</v>
      </c>
      <c r="C6" s="14">
        <f>'3 -MM, růst, iterace'!C6</f>
        <v>190</v>
      </c>
      <c r="D6" s="14">
        <f>'3 -MM, růst, iterace'!D6</f>
        <v>200</v>
      </c>
      <c r="E6" s="14">
        <f>'3 -MM, růst, iterace'!E6</f>
        <v>200</v>
      </c>
      <c r="F6" s="39"/>
      <c r="G6" s="17" t="s">
        <v>35</v>
      </c>
      <c r="H6" s="94">
        <f>'3 -MM, růst, iterace'!H6</f>
        <v>0.15</v>
      </c>
    </row>
    <row r="7" spans="1:9" x14ac:dyDescent="0.25">
      <c r="A7" s="30" t="s">
        <v>40</v>
      </c>
      <c r="B7" s="31">
        <f>B5+B6</f>
        <v>350</v>
      </c>
      <c r="C7" s="31">
        <f>C5+C6</f>
        <v>370</v>
      </c>
      <c r="D7" s="31">
        <f>D5+D6</f>
        <v>390</v>
      </c>
      <c r="E7" s="31">
        <f>E5+E6</f>
        <v>410</v>
      </c>
      <c r="F7" s="39"/>
      <c r="G7" s="13" t="s">
        <v>8</v>
      </c>
      <c r="H7" s="119">
        <f>'3 -MM, růst, iterace'!H7</f>
        <v>0.03</v>
      </c>
    </row>
    <row r="8" spans="1:9" ht="18.75" x14ac:dyDescent="0.35">
      <c r="A8" s="12" t="s">
        <v>42</v>
      </c>
      <c r="B8" s="27">
        <f>'3 -MM, růst, iterace'!B8</f>
        <v>0.03</v>
      </c>
      <c r="C8" s="27">
        <f>'3 -MM, růst, iterace'!C8</f>
        <v>0.05</v>
      </c>
      <c r="D8" s="27">
        <f>'3 -MM, růst, iterace'!D8</f>
        <v>0.06</v>
      </c>
      <c r="E8" s="68">
        <f>'3 -MM, růst, iterace'!E8</f>
        <v>7.0000000000000007E-2</v>
      </c>
      <c r="F8" s="121"/>
    </row>
    <row r="9" spans="1:9" x14ac:dyDescent="0.25">
      <c r="A9" s="13" t="s">
        <v>57</v>
      </c>
      <c r="B9" s="28">
        <f>'3 -MM, růst, iterace'!B9</f>
        <v>0.2</v>
      </c>
      <c r="C9" s="28">
        <f>'3 -MM, růst, iterace'!C9</f>
        <v>0.19</v>
      </c>
      <c r="D9" s="28">
        <f>'3 -MM, růst, iterace'!D9</f>
        <v>0.19</v>
      </c>
      <c r="E9" s="69">
        <f>'3 -MM, růst, iterace'!E9</f>
        <v>0.18</v>
      </c>
      <c r="F9" s="121"/>
      <c r="H9" s="127"/>
    </row>
    <row r="10" spans="1:9" x14ac:dyDescent="0.25">
      <c r="A10" s="9" t="s">
        <v>15</v>
      </c>
      <c r="B10" s="90">
        <f>'3 -MM, růst, iterace'!B10</f>
        <v>60</v>
      </c>
      <c r="C10" s="33">
        <f>'3 -MM, růst, iterace'!C10</f>
        <v>66</v>
      </c>
      <c r="D10" s="33">
        <f>'3 -MM, růst, iterace'!D10</f>
        <v>72.600000000000009</v>
      </c>
      <c r="E10" s="33">
        <f>'3 -MM, růst, iterace'!E10</f>
        <v>74.778000000000006</v>
      </c>
      <c r="F10" s="39"/>
    </row>
    <row r="12" spans="1:9" x14ac:dyDescent="0.25">
      <c r="A12" s="57" t="s">
        <v>61</v>
      </c>
    </row>
    <row r="13" spans="1:9" x14ac:dyDescent="0.25">
      <c r="A13" s="17" t="s">
        <v>16</v>
      </c>
      <c r="B13" s="24">
        <f>B10*(1-B9)</f>
        <v>48</v>
      </c>
      <c r="C13" s="24">
        <f>C10*(1-C9)</f>
        <v>53.46</v>
      </c>
      <c r="D13" s="24">
        <f>D10*(1-D9)</f>
        <v>58.806000000000012</v>
      </c>
      <c r="E13" s="24">
        <f>E10*(1-E9)</f>
        <v>61.317960000000006</v>
      </c>
      <c r="F13" s="39"/>
    </row>
    <row r="14" spans="1:9" x14ac:dyDescent="0.25">
      <c r="A14" s="13" t="s">
        <v>41</v>
      </c>
      <c r="B14" s="14">
        <f>-(C7-B7)</f>
        <v>-20</v>
      </c>
      <c r="C14" s="14">
        <f>-(D7-C7)</f>
        <v>-20</v>
      </c>
      <c r="D14" s="14">
        <f>-(E7-D7)</f>
        <v>-20</v>
      </c>
      <c r="E14" s="14">
        <f>-E7*H7</f>
        <v>-12.299999999999999</v>
      </c>
      <c r="F14" s="39"/>
    </row>
    <row r="15" spans="1:9" x14ac:dyDescent="0.25">
      <c r="A15" s="30" t="s">
        <v>14</v>
      </c>
      <c r="B15" s="31">
        <f>B13+B14</f>
        <v>28</v>
      </c>
      <c r="C15" s="31">
        <f>C13+C14</f>
        <v>33.46</v>
      </c>
      <c r="D15" s="31">
        <f>D13+D14</f>
        <v>38.806000000000012</v>
      </c>
      <c r="E15" s="31">
        <f>E13+E14</f>
        <v>49.017960000000009</v>
      </c>
      <c r="F15" s="39"/>
    </row>
    <row r="16" spans="1:9" ht="18.75" x14ac:dyDescent="0.35">
      <c r="A16" s="82" t="s">
        <v>48</v>
      </c>
      <c r="B16" s="21">
        <f>-B8*B5*(1-B9)</f>
        <v>-4.08</v>
      </c>
      <c r="C16" s="21">
        <f>-C8*C5*(1-C9)</f>
        <v>-7.2900000000000009</v>
      </c>
      <c r="D16" s="21">
        <f>-D8*D5*(1-D9)</f>
        <v>-9.2340000000000018</v>
      </c>
      <c r="E16" s="21">
        <f>-E8*E5*(1-E9)</f>
        <v>-12.054000000000002</v>
      </c>
      <c r="F16" s="39"/>
    </row>
    <row r="17" spans="1:6" x14ac:dyDescent="0.25">
      <c r="A17" s="25" t="s">
        <v>11</v>
      </c>
      <c r="B17" s="21">
        <f>C5-B5</f>
        <v>10</v>
      </c>
      <c r="C17" s="21">
        <f>D5-C5</f>
        <v>10</v>
      </c>
      <c r="D17" s="21">
        <f>E5-D5</f>
        <v>20</v>
      </c>
      <c r="E17" s="21">
        <f>E5*H7</f>
        <v>6.3</v>
      </c>
      <c r="F17" s="39"/>
    </row>
    <row r="18" spans="1:6" x14ac:dyDescent="0.25">
      <c r="A18" s="9" t="s">
        <v>6</v>
      </c>
      <c r="B18" s="99">
        <f>SUM(B15:B17)</f>
        <v>33.92</v>
      </c>
      <c r="C18" s="90">
        <f>SUM(C15:C17)</f>
        <v>36.17</v>
      </c>
      <c r="D18" s="90">
        <f>SUM(D15:D17)</f>
        <v>49.57200000000001</v>
      </c>
      <c r="E18" s="33">
        <f>SUM(E15:E17)</f>
        <v>43.263960000000004</v>
      </c>
      <c r="F18" s="39"/>
    </row>
    <row r="19" spans="1:6" x14ac:dyDescent="0.25">
      <c r="F19" s="39"/>
    </row>
    <row r="20" spans="1:6" ht="17.25" x14ac:dyDescent="0.3">
      <c r="A20" s="57" t="s">
        <v>73</v>
      </c>
      <c r="B20" s="38"/>
      <c r="C20" s="38"/>
      <c r="D20" s="38"/>
      <c r="E20" s="38"/>
      <c r="F20" s="39"/>
    </row>
    <row r="21" spans="1:6" x14ac:dyDescent="0.25">
      <c r="A21" s="22" t="s">
        <v>38</v>
      </c>
      <c r="B21" s="128">
        <f>B5</f>
        <v>170</v>
      </c>
      <c r="C21" s="23">
        <f t="shared" ref="C21:E21" si="0">C5</f>
        <v>180</v>
      </c>
      <c r="D21" s="23">
        <f t="shared" si="0"/>
        <v>190</v>
      </c>
      <c r="E21" s="89">
        <f t="shared" si="0"/>
        <v>210</v>
      </c>
      <c r="F21" s="39"/>
    </row>
    <row r="22" spans="1:6" ht="18.75" x14ac:dyDescent="0.35">
      <c r="A22" s="12" t="s">
        <v>42</v>
      </c>
      <c r="B22" s="27">
        <f>B8</f>
        <v>0.03</v>
      </c>
      <c r="C22" s="27">
        <f t="shared" ref="C22:E22" si="1">C8</f>
        <v>0.05</v>
      </c>
      <c r="D22" s="27">
        <f t="shared" si="1"/>
        <v>0.06</v>
      </c>
      <c r="E22" s="27">
        <f t="shared" si="1"/>
        <v>7.0000000000000007E-2</v>
      </c>
      <c r="F22" s="39"/>
    </row>
    <row r="23" spans="1:6" x14ac:dyDescent="0.25">
      <c r="A23" s="129" t="s">
        <v>79</v>
      </c>
      <c r="B23" s="130">
        <f>B22</f>
        <v>0.03</v>
      </c>
      <c r="C23" s="130">
        <f t="shared" ref="C23:E23" si="2">C22</f>
        <v>0.05</v>
      </c>
      <c r="D23" s="130">
        <f t="shared" si="2"/>
        <v>0.06</v>
      </c>
      <c r="E23" s="130">
        <f t="shared" si="2"/>
        <v>7.0000000000000007E-2</v>
      </c>
      <c r="F23" s="39"/>
    </row>
    <row r="24" spans="1:6" x14ac:dyDescent="0.25">
      <c r="A24" s="22" t="s">
        <v>74</v>
      </c>
      <c r="B24" s="23">
        <f>B21*B22*B9</f>
        <v>1.02</v>
      </c>
      <c r="C24" s="23">
        <f t="shared" ref="C24:E24" si="3">C21*C22*C9</f>
        <v>1.71</v>
      </c>
      <c r="D24" s="23">
        <f t="shared" si="3"/>
        <v>2.1659999999999999</v>
      </c>
      <c r="E24" s="23">
        <f t="shared" si="3"/>
        <v>2.6459999999999999</v>
      </c>
      <c r="F24" s="44"/>
    </row>
    <row r="25" spans="1:6" x14ac:dyDescent="0.25">
      <c r="A25" s="9" t="s">
        <v>12</v>
      </c>
      <c r="B25" s="90">
        <f>(C25+B24)/(1+B23)</f>
        <v>62.163713919346797</v>
      </c>
      <c r="C25" s="90">
        <f t="shared" ref="C25:D25" si="4">(D25+C24)/(1+C23)</f>
        <v>63.008625336927203</v>
      </c>
      <c r="D25" s="90">
        <f t="shared" si="4"/>
        <v>64.44905660377357</v>
      </c>
      <c r="E25" s="90">
        <f>E24/(E23-H7)</f>
        <v>66.149999999999991</v>
      </c>
      <c r="F25" s="44"/>
    </row>
    <row r="26" spans="1:6" x14ac:dyDescent="0.25">
      <c r="E26" s="2"/>
      <c r="F26" s="2"/>
    </row>
    <row r="27" spans="1:6" x14ac:dyDescent="0.25">
      <c r="A27" s="57" t="s">
        <v>59</v>
      </c>
      <c r="B27" s="6"/>
      <c r="C27" s="6"/>
      <c r="D27" s="6"/>
    </row>
    <row r="28" spans="1:6" x14ac:dyDescent="0.25">
      <c r="A28" s="71" t="s">
        <v>58</v>
      </c>
      <c r="B28" s="100">
        <f ca="1">B38</f>
        <v>0.41881010681730618</v>
      </c>
      <c r="C28" s="19">
        <f ca="1">C38</f>
        <v>0.41829431344390972</v>
      </c>
      <c r="D28" s="19">
        <f ca="1">D38</f>
        <v>0.41905970608392334</v>
      </c>
      <c r="E28" s="19">
        <f ca="1">E38</f>
        <v>0.44244711176846102</v>
      </c>
      <c r="F28" s="123"/>
    </row>
    <row r="29" spans="1:6" x14ac:dyDescent="0.25">
      <c r="A29" s="73" t="s">
        <v>10</v>
      </c>
      <c r="B29" s="101">
        <f ca="1">(1-B28)</f>
        <v>0.58118989318269376</v>
      </c>
      <c r="C29" s="20">
        <f ca="1">(1-C28)</f>
        <v>0.58170568655609034</v>
      </c>
      <c r="D29" s="20">
        <f ca="1">(1-D28)</f>
        <v>0.5809402939160766</v>
      </c>
      <c r="E29" s="20">
        <f ca="1">(1-E28)</f>
        <v>0.55755288823153903</v>
      </c>
      <c r="F29" s="123"/>
    </row>
    <row r="30" spans="1:6" x14ac:dyDescent="0.25">
      <c r="A30" s="73" t="s">
        <v>13</v>
      </c>
      <c r="B30" s="102">
        <f ca="1">B28/B29</f>
        <v>0.72060803487794922</v>
      </c>
      <c r="C30" s="18">
        <f ca="1">C28/C29</f>
        <v>0.71908238669689561</v>
      </c>
      <c r="D30" s="18">
        <f ca="1">D28/D29</f>
        <v>0.72134728899431666</v>
      </c>
      <c r="E30" s="18">
        <f ca="1">E28/E29</f>
        <v>0.7935518246023735</v>
      </c>
      <c r="F30" s="123"/>
    </row>
    <row r="31" spans="1:6" ht="18.75" x14ac:dyDescent="0.35">
      <c r="A31" s="71" t="s">
        <v>60</v>
      </c>
      <c r="B31" s="72">
        <f>B8*(1-B9)</f>
        <v>2.4E-2</v>
      </c>
      <c r="C31" s="72">
        <f t="shared" ref="C31:E31" si="5">C8*(1-C9)</f>
        <v>4.0500000000000008E-2</v>
      </c>
      <c r="D31" s="72">
        <f t="shared" si="5"/>
        <v>4.8600000000000004E-2</v>
      </c>
      <c r="E31" s="72">
        <f t="shared" si="5"/>
        <v>5.7400000000000007E-2</v>
      </c>
      <c r="F31" s="123"/>
    </row>
    <row r="32" spans="1:6" ht="17.25" x14ac:dyDescent="0.3">
      <c r="A32" s="97" t="s">
        <v>62</v>
      </c>
      <c r="B32" s="98">
        <f ca="1">$H$6+($H$6-B8)*(B5-B25)/B37</f>
        <v>0.20485249002431705</v>
      </c>
      <c r="C32" s="98">
        <f ca="1">$H$6+($H$6-C8)*(C5-C25)/C37</f>
        <v>0.19673690939759617</v>
      </c>
      <c r="D32" s="98">
        <f ca="1">$H$6+($H$6-D8)*(D5-D25)/D37</f>
        <v>0.19289960493925901</v>
      </c>
      <c r="E32" s="98">
        <f ca="1">$H$6+($H$6-E8)*(E5-E25)/E37</f>
        <v>0.19348663998821009</v>
      </c>
      <c r="F32" s="122"/>
    </row>
    <row r="33" spans="1:6" x14ac:dyDescent="0.25">
      <c r="A33" s="77" t="s">
        <v>63</v>
      </c>
      <c r="B33" s="104">
        <f ca="1">B31*B28+B32*B29</f>
        <v>0.129109639359057</v>
      </c>
      <c r="C33" s="104">
        <f t="shared" ref="C33:E33" ca="1" si="6">C31*C28+C32*C29</f>
        <v>0.13138389864653038</v>
      </c>
      <c r="D33" s="104">
        <f t="shared" ca="1" si="6"/>
        <v>0.13242945490538688</v>
      </c>
      <c r="E33" s="104">
        <f t="shared" ca="1" si="6"/>
        <v>0.13327549917515219</v>
      </c>
      <c r="F33" s="123"/>
    </row>
    <row r="34" spans="1:6" x14ac:dyDescent="0.25">
      <c r="A34" s="17" t="s">
        <v>14</v>
      </c>
      <c r="B34" s="24">
        <f>B$15</f>
        <v>28</v>
      </c>
      <c r="C34" s="24">
        <f>C$15</f>
        <v>33.46</v>
      </c>
      <c r="D34" s="24">
        <f>D$15</f>
        <v>38.806000000000012</v>
      </c>
      <c r="E34" s="24">
        <f>E15</f>
        <v>49.017960000000009</v>
      </c>
      <c r="F34" s="44"/>
    </row>
    <row r="35" spans="1:6" x14ac:dyDescent="0.25">
      <c r="A35" s="15" t="s">
        <v>5</v>
      </c>
      <c r="B35" s="16">
        <f ca="1">(C35+B34)/(1+B33)</f>
        <v>405.91188520232544</v>
      </c>
      <c r="C35" s="16">
        <f ca="1">(D35+C34)/(1+C33)</f>
        <v>430.3190223123525</v>
      </c>
      <c r="D35" s="16">
        <f ca="1">(E35+D34)/(1+D33)</f>
        <v>453.39601312551281</v>
      </c>
      <c r="E35" s="16">
        <f ca="1">E34/(E33-H7)</f>
        <v>474.63299999999998</v>
      </c>
      <c r="F35" s="6"/>
    </row>
    <row r="36" spans="1:6" x14ac:dyDescent="0.25">
      <c r="A36" s="17" t="s">
        <v>38</v>
      </c>
      <c r="B36" s="108">
        <f>B5</f>
        <v>170</v>
      </c>
      <c r="C36" s="108">
        <f>C5</f>
        <v>180</v>
      </c>
      <c r="D36" s="108">
        <f>D5</f>
        <v>190</v>
      </c>
      <c r="E36" s="108">
        <f>E5</f>
        <v>210</v>
      </c>
      <c r="F36" s="44"/>
    </row>
    <row r="37" spans="1:6" x14ac:dyDescent="0.25">
      <c r="A37" s="80" t="s">
        <v>49</v>
      </c>
      <c r="B37" s="81">
        <f ca="1">B35-B36</f>
        <v>235.91188520232544</v>
      </c>
      <c r="C37" s="37">
        <f t="shared" ref="C37:E37" ca="1" si="7">C35-C36</f>
        <v>250.3190223123525</v>
      </c>
      <c r="D37" s="37">
        <f t="shared" ca="1" si="7"/>
        <v>263.39601312551281</v>
      </c>
      <c r="E37" s="37">
        <f t="shared" ca="1" si="7"/>
        <v>264.63299999999998</v>
      </c>
      <c r="F37" s="43"/>
    </row>
    <row r="38" spans="1:6" ht="18.75" x14ac:dyDescent="0.35">
      <c r="A38" s="13" t="s">
        <v>46</v>
      </c>
      <c r="B38" s="32">
        <f ca="1">B36/B35</f>
        <v>0.41881010681730607</v>
      </c>
      <c r="C38" s="32">
        <f t="shared" ref="C38:E38" ca="1" si="8">C36/C35</f>
        <v>0.41829431344390983</v>
      </c>
      <c r="D38" s="32">
        <f t="shared" ca="1" si="8"/>
        <v>0.41905970608392323</v>
      </c>
      <c r="E38" s="32">
        <f t="shared" ca="1" si="8"/>
        <v>0.44244711176846113</v>
      </c>
      <c r="F38" s="123"/>
    </row>
    <row r="40" spans="1:6" x14ac:dyDescent="0.25">
      <c r="A40" s="57" t="s">
        <v>67</v>
      </c>
    </row>
    <row r="41" spans="1:6" x14ac:dyDescent="0.25">
      <c r="A41" s="17" t="s">
        <v>6</v>
      </c>
      <c r="B41" s="24">
        <f>B18</f>
        <v>33.92</v>
      </c>
      <c r="C41" s="24">
        <f>C18</f>
        <v>36.17</v>
      </c>
      <c r="D41" s="24">
        <f>D18</f>
        <v>49.57200000000001</v>
      </c>
      <c r="E41" s="24">
        <f>E18</f>
        <v>43.263960000000004</v>
      </c>
      <c r="F41" s="38"/>
    </row>
    <row r="42" spans="1:6" ht="17.25" x14ac:dyDescent="0.3">
      <c r="A42" s="97" t="s">
        <v>62</v>
      </c>
      <c r="B42" s="103">
        <f ca="1">B32</f>
        <v>0.20485249002431705</v>
      </c>
      <c r="C42" s="103">
        <f ca="1">C32</f>
        <v>0.19673690939759617</v>
      </c>
      <c r="D42" s="103">
        <f ca="1">D32</f>
        <v>0.19289960493925901</v>
      </c>
      <c r="E42" s="103">
        <f ca="1">E32</f>
        <v>0.19348663998821009</v>
      </c>
      <c r="F42" s="124"/>
    </row>
    <row r="43" spans="1:6" x14ac:dyDescent="0.25">
      <c r="A43" s="83" t="s">
        <v>49</v>
      </c>
      <c r="B43" s="106">
        <f ca="1">(C43+B41)/(1+B42)</f>
        <v>235.91188520232546</v>
      </c>
      <c r="C43" s="107">
        <f ca="1">(D43+C41)/(1+C42)</f>
        <v>250.31902231235262</v>
      </c>
      <c r="D43" s="107">
        <f ca="1">(E43+D41)/(1+D42)</f>
        <v>263.39601312551275</v>
      </c>
      <c r="E43" s="107">
        <f ca="1">E41/(E42-H7)</f>
        <v>264.63300000000004</v>
      </c>
      <c r="F43" s="125"/>
    </row>
    <row r="44" spans="1:6" x14ac:dyDescent="0.25">
      <c r="A44" s="7"/>
    </row>
    <row r="45" spans="1:6" x14ac:dyDescent="0.25">
      <c r="A45" s="57" t="s">
        <v>64</v>
      </c>
      <c r="B45" s="3"/>
      <c r="C45" s="3"/>
      <c r="D45" s="3"/>
    </row>
    <row r="46" spans="1:6" ht="17.25" x14ac:dyDescent="0.3">
      <c r="A46" s="75" t="s">
        <v>53</v>
      </c>
      <c r="B46" s="76">
        <f>$H$6</f>
        <v>0.15</v>
      </c>
      <c r="C46" s="76">
        <f>$H$6</f>
        <v>0.15</v>
      </c>
      <c r="D46" s="76">
        <f>$H$6</f>
        <v>0.15</v>
      </c>
      <c r="E46" s="76">
        <f>$H$6</f>
        <v>0.15</v>
      </c>
      <c r="F46" s="126"/>
    </row>
    <row r="47" spans="1:6" x14ac:dyDescent="0.25">
      <c r="A47" s="12" t="s">
        <v>14</v>
      </c>
      <c r="B47" s="21">
        <f>B15</f>
        <v>28</v>
      </c>
      <c r="C47" s="21">
        <f t="shared" ref="C47:E47" si="9">C15</f>
        <v>33.46</v>
      </c>
      <c r="D47" s="21">
        <f t="shared" si="9"/>
        <v>38.806000000000012</v>
      </c>
      <c r="E47" s="21">
        <f t="shared" si="9"/>
        <v>49.017960000000009</v>
      </c>
      <c r="F47" s="44"/>
    </row>
    <row r="48" spans="1:6" x14ac:dyDescent="0.25">
      <c r="A48" s="86" t="s">
        <v>51</v>
      </c>
      <c r="B48" s="34">
        <f>(C48+B47)/(1+B46)</f>
        <v>343.74817128297866</v>
      </c>
      <c r="C48" s="14">
        <f>(D48+C47)/(1+C46)</f>
        <v>367.31039697542542</v>
      </c>
      <c r="D48" s="14">
        <f>(E48+D47)/(1+D46)</f>
        <v>388.94695652173925</v>
      </c>
      <c r="E48" s="11">
        <f>E47/(E46-$H$7)</f>
        <v>408.48300000000012</v>
      </c>
      <c r="F48" s="44"/>
    </row>
    <row r="49" spans="1:6" x14ac:dyDescent="0.25">
      <c r="A49" s="13" t="s">
        <v>137</v>
      </c>
      <c r="B49" s="34">
        <f>B25</f>
        <v>62.163713919346797</v>
      </c>
      <c r="C49" s="34">
        <f t="shared" ref="C49:E49" si="10">C25</f>
        <v>63.008625336927203</v>
      </c>
      <c r="D49" s="34">
        <f t="shared" si="10"/>
        <v>64.44905660377357</v>
      </c>
      <c r="E49" s="34">
        <f t="shared" si="10"/>
        <v>66.149999999999991</v>
      </c>
      <c r="F49" s="44"/>
    </row>
    <row r="50" spans="1:6" x14ac:dyDescent="0.25">
      <c r="A50" s="35" t="s">
        <v>9</v>
      </c>
      <c r="B50" s="36">
        <f>B48+B49</f>
        <v>405.91188520232544</v>
      </c>
      <c r="C50" s="36">
        <f>C48+C49</f>
        <v>430.31902231235262</v>
      </c>
      <c r="D50" s="36">
        <f>D48+D49</f>
        <v>453.39601312551281</v>
      </c>
      <c r="E50" s="36">
        <f>E48+E49</f>
        <v>474.6330000000001</v>
      </c>
      <c r="F50" s="6"/>
    </row>
    <row r="51" spans="1:6" x14ac:dyDescent="0.25">
      <c r="A51" s="40" t="s">
        <v>2</v>
      </c>
      <c r="B51" s="41">
        <f>B5</f>
        <v>170</v>
      </c>
      <c r="C51" s="41">
        <f t="shared" ref="C51:E51" si="11">C5</f>
        <v>180</v>
      </c>
      <c r="D51" s="41">
        <f t="shared" si="11"/>
        <v>190</v>
      </c>
      <c r="E51" s="41">
        <f t="shared" si="11"/>
        <v>210</v>
      </c>
      <c r="F51" s="6"/>
    </row>
    <row r="52" spans="1:6" x14ac:dyDescent="0.25">
      <c r="A52" s="83" t="s">
        <v>49</v>
      </c>
      <c r="B52" s="105">
        <f>B50-B51</f>
        <v>235.91188520232544</v>
      </c>
      <c r="C52" s="85">
        <f t="shared" ref="C52:E52" si="12">C50-C51</f>
        <v>250.31902231235262</v>
      </c>
      <c r="D52" s="85">
        <f t="shared" si="12"/>
        <v>263.39601312551281</v>
      </c>
      <c r="E52" s="85">
        <f t="shared" si="12"/>
        <v>264.6330000000001</v>
      </c>
      <c r="F52" s="43"/>
    </row>
    <row r="53" spans="1:6" x14ac:dyDescent="0.25">
      <c r="B53" s="8"/>
      <c r="C53" s="1"/>
      <c r="D53" s="1"/>
      <c r="E53" s="8"/>
      <c r="F53" s="8"/>
    </row>
    <row r="57" spans="1:6" x14ac:dyDescent="0.25">
      <c r="A57" s="7"/>
    </row>
    <row r="58" spans="1:6" x14ac:dyDescent="0.25">
      <c r="A58" s="7"/>
    </row>
    <row r="59" spans="1:6" x14ac:dyDescent="0.25">
      <c r="A59" s="7"/>
    </row>
    <row r="60" spans="1:6" x14ac:dyDescent="0.25">
      <c r="A60" s="7"/>
    </row>
    <row r="61" spans="1:6" x14ac:dyDescent="0.25">
      <c r="A61" s="7"/>
    </row>
    <row r="62" spans="1:6" x14ac:dyDescent="0.25">
      <c r="A62" s="7"/>
    </row>
    <row r="63" spans="1:6" x14ac:dyDescent="0.25">
      <c r="A63" s="7"/>
    </row>
    <row r="64" spans="1:6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phoneticPr fontId="10" type="noConversion"/>
  <hyperlinks>
    <hyperlink ref="I1" location="Úvod!A31" display="Skok na obsah" xr:uid="{08BED9B5-59A8-45DA-91D1-1865F1C0DE4D}"/>
  </hyperlinks>
  <printOptions gridLinesSet="0"/>
  <pageMargins left="0.78740157480314965" right="0.78740157480314965" top="0.98425196850393704" bottom="0.78740157480314965" header="0.51181102362204722" footer="0.51181102362204722"/>
  <pageSetup paperSize="9" scale="79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2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10.625" customWidth="1"/>
  </cols>
  <sheetData>
    <row r="1" spans="1:9" ht="18.75" x14ac:dyDescent="0.3">
      <c r="A1" s="53" t="s">
        <v>76</v>
      </c>
      <c r="B1" s="54" t="s">
        <v>71</v>
      </c>
      <c r="I1" s="172" t="s">
        <v>164</v>
      </c>
    </row>
    <row r="2" spans="1:9" x14ac:dyDescent="0.25">
      <c r="B2" s="54" t="s">
        <v>77</v>
      </c>
    </row>
    <row r="3" spans="1:9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F3" s="120"/>
    </row>
    <row r="4" spans="1:9" x14ac:dyDescent="0.25">
      <c r="A4" s="57" t="s">
        <v>78</v>
      </c>
    </row>
    <row r="5" spans="1:9" x14ac:dyDescent="0.25">
      <c r="A5" s="17" t="s">
        <v>38</v>
      </c>
      <c r="B5" s="91">
        <f>'3 -MM, růst, iterace'!B5</f>
        <v>170</v>
      </c>
      <c r="C5" s="24">
        <f>'3 -MM, růst, iterace'!C5</f>
        <v>180</v>
      </c>
      <c r="D5" s="24">
        <f>'3 -MM, růst, iterace'!D5</f>
        <v>190</v>
      </c>
      <c r="E5" s="24">
        <f>'3 -MM, růst, iterace'!E5</f>
        <v>210</v>
      </c>
      <c r="F5" s="39"/>
      <c r="G5" s="1" t="s">
        <v>37</v>
      </c>
      <c r="H5" s="87"/>
    </row>
    <row r="6" spans="1:9" ht="18.75" x14ac:dyDescent="0.35">
      <c r="A6" s="13" t="s">
        <v>39</v>
      </c>
      <c r="B6" s="34">
        <f>'3 -MM, růst, iterace'!B6</f>
        <v>180</v>
      </c>
      <c r="C6" s="14">
        <f>'3 -MM, růst, iterace'!C6</f>
        <v>190</v>
      </c>
      <c r="D6" s="14">
        <f>'3 -MM, růst, iterace'!D6</f>
        <v>200</v>
      </c>
      <c r="E6" s="14">
        <f>'3 -MM, růst, iterace'!E6</f>
        <v>200</v>
      </c>
      <c r="F6" s="39"/>
      <c r="G6" s="17" t="s">
        <v>35</v>
      </c>
      <c r="H6" s="94">
        <f>'3 -MM, růst, iterace'!H6</f>
        <v>0.15</v>
      </c>
    </row>
    <row r="7" spans="1:9" x14ac:dyDescent="0.25">
      <c r="A7" s="30" t="s">
        <v>40</v>
      </c>
      <c r="B7" s="31">
        <f>B5+B6</f>
        <v>350</v>
      </c>
      <c r="C7" s="31">
        <f>C5+C6</f>
        <v>370</v>
      </c>
      <c r="D7" s="31">
        <f>D5+D6</f>
        <v>390</v>
      </c>
      <c r="E7" s="31">
        <f>E5+E6</f>
        <v>410</v>
      </c>
      <c r="F7" s="39"/>
      <c r="G7" s="13" t="s">
        <v>8</v>
      </c>
      <c r="H7" s="119">
        <f>'3 -MM, růst, iterace'!H7</f>
        <v>0.03</v>
      </c>
    </row>
    <row r="8" spans="1:9" ht="18.75" x14ac:dyDescent="0.35">
      <c r="A8" s="12" t="s">
        <v>42</v>
      </c>
      <c r="B8" s="27">
        <f>'3 -MM, růst, iterace'!B8</f>
        <v>0.03</v>
      </c>
      <c r="C8" s="27">
        <f>'3 -MM, růst, iterace'!C8</f>
        <v>0.05</v>
      </c>
      <c r="D8" s="27">
        <f>'3 -MM, růst, iterace'!D8</f>
        <v>0.06</v>
      </c>
      <c r="E8" s="68">
        <f>'3 -MM, růst, iterace'!E8</f>
        <v>7.0000000000000007E-2</v>
      </c>
      <c r="F8" s="121"/>
    </row>
    <row r="9" spans="1:9" x14ac:dyDescent="0.25">
      <c r="A9" s="13" t="s">
        <v>57</v>
      </c>
      <c r="B9" s="28">
        <f>'3 -MM, růst, iterace'!B9</f>
        <v>0.2</v>
      </c>
      <c r="C9" s="28">
        <f>'3 -MM, růst, iterace'!C9</f>
        <v>0.19</v>
      </c>
      <c r="D9" s="28">
        <f>'3 -MM, růst, iterace'!D9</f>
        <v>0.19</v>
      </c>
      <c r="E9" s="69">
        <f>'3 -MM, růst, iterace'!E9</f>
        <v>0.18</v>
      </c>
      <c r="F9" s="121"/>
    </row>
    <row r="10" spans="1:9" x14ac:dyDescent="0.25">
      <c r="A10" s="9" t="s">
        <v>15</v>
      </c>
      <c r="B10" s="90">
        <f>'3 -MM, růst, iterace'!B10</f>
        <v>60</v>
      </c>
      <c r="C10" s="33">
        <f>'3 -MM, růst, iterace'!C10</f>
        <v>66</v>
      </c>
      <c r="D10" s="33">
        <f>'3 -MM, růst, iterace'!D10</f>
        <v>72.600000000000009</v>
      </c>
      <c r="E10" s="33">
        <f>'3 -MM, růst, iterace'!E10</f>
        <v>74.778000000000006</v>
      </c>
      <c r="F10" s="39"/>
    </row>
    <row r="12" spans="1:9" x14ac:dyDescent="0.25">
      <c r="A12" s="57" t="s">
        <v>61</v>
      </c>
    </row>
    <row r="13" spans="1:9" x14ac:dyDescent="0.25">
      <c r="A13" s="17" t="s">
        <v>16</v>
      </c>
      <c r="B13" s="24">
        <f>B10*(1-B9)</f>
        <v>48</v>
      </c>
      <c r="C13" s="24">
        <f>C10*(1-C9)</f>
        <v>53.46</v>
      </c>
      <c r="D13" s="24">
        <f>D10*(1-D9)</f>
        <v>58.806000000000012</v>
      </c>
      <c r="E13" s="24">
        <f>E10*(1-E9)</f>
        <v>61.317960000000006</v>
      </c>
      <c r="F13" s="39"/>
    </row>
    <row r="14" spans="1:9" x14ac:dyDescent="0.25">
      <c r="A14" s="13" t="s">
        <v>41</v>
      </c>
      <c r="B14" s="14">
        <f>-(C7-B7)</f>
        <v>-20</v>
      </c>
      <c r="C14" s="14">
        <f>-(D7-C7)</f>
        <v>-20</v>
      </c>
      <c r="D14" s="14">
        <f>-(E7-D7)</f>
        <v>-20</v>
      </c>
      <c r="E14" s="14">
        <f>-E7*H7</f>
        <v>-12.299999999999999</v>
      </c>
      <c r="F14" s="39"/>
    </row>
    <row r="15" spans="1:9" x14ac:dyDescent="0.25">
      <c r="A15" s="30" t="s">
        <v>14</v>
      </c>
      <c r="B15" s="31">
        <f>B13+B14</f>
        <v>28</v>
      </c>
      <c r="C15" s="31">
        <f>C13+C14</f>
        <v>33.46</v>
      </c>
      <c r="D15" s="31">
        <f>D13+D14</f>
        <v>38.806000000000012</v>
      </c>
      <c r="E15" s="31">
        <f>E13+E14</f>
        <v>49.017960000000009</v>
      </c>
      <c r="F15" s="39"/>
    </row>
    <row r="16" spans="1:9" ht="18.75" x14ac:dyDescent="0.35">
      <c r="A16" s="82" t="s">
        <v>48</v>
      </c>
      <c r="B16" s="21">
        <f>-B8*B5*(1-B9)</f>
        <v>-4.08</v>
      </c>
      <c r="C16" s="21">
        <f>-C8*C5*(1-C9)</f>
        <v>-7.2900000000000009</v>
      </c>
      <c r="D16" s="21">
        <f>-D8*D5*(1-D9)</f>
        <v>-9.2340000000000018</v>
      </c>
      <c r="E16" s="21">
        <f>-E8*E5*(1-E9)</f>
        <v>-12.054000000000002</v>
      </c>
      <c r="F16" s="44"/>
    </row>
    <row r="17" spans="1:7" x14ac:dyDescent="0.25">
      <c r="A17" s="25" t="s">
        <v>11</v>
      </c>
      <c r="B17" s="21">
        <f>C5-B5</f>
        <v>10</v>
      </c>
      <c r="C17" s="21">
        <f>D5-C5</f>
        <v>10</v>
      </c>
      <c r="D17" s="21">
        <f>E5-D5</f>
        <v>20</v>
      </c>
      <c r="E17" s="21">
        <f>E5*H7</f>
        <v>6.3</v>
      </c>
      <c r="F17" s="44"/>
    </row>
    <row r="18" spans="1:7" x14ac:dyDescent="0.25">
      <c r="A18" s="9" t="s">
        <v>6</v>
      </c>
      <c r="B18" s="99">
        <f>SUM(B15:B17)</f>
        <v>33.92</v>
      </c>
      <c r="C18" s="90">
        <f t="shared" ref="C18:E18" si="0">SUM(C15:C17)</f>
        <v>36.17</v>
      </c>
      <c r="D18" s="90">
        <f t="shared" si="0"/>
        <v>49.57200000000001</v>
      </c>
      <c r="E18" s="33">
        <f t="shared" si="0"/>
        <v>43.263960000000004</v>
      </c>
      <c r="F18" s="39"/>
    </row>
    <row r="19" spans="1:7" x14ac:dyDescent="0.25">
      <c r="F19" s="39"/>
    </row>
    <row r="20" spans="1:7" ht="17.25" x14ac:dyDescent="0.3">
      <c r="A20" s="57" t="s">
        <v>80</v>
      </c>
      <c r="B20" s="38"/>
      <c r="C20" s="38"/>
      <c r="D20" s="38"/>
      <c r="E20" s="38"/>
      <c r="F20" s="39"/>
    </row>
    <row r="21" spans="1:7" x14ac:dyDescent="0.25">
      <c r="A21" s="22" t="s">
        <v>38</v>
      </c>
      <c r="B21" s="128">
        <f>B5</f>
        <v>170</v>
      </c>
      <c r="C21" s="23">
        <f t="shared" ref="C21:E21" si="1">C5</f>
        <v>180</v>
      </c>
      <c r="D21" s="23">
        <f t="shared" si="1"/>
        <v>190</v>
      </c>
      <c r="E21" s="89">
        <f t="shared" si="1"/>
        <v>210</v>
      </c>
      <c r="F21" s="39"/>
    </row>
    <row r="22" spans="1:7" ht="18.75" x14ac:dyDescent="0.35">
      <c r="A22" s="12" t="s">
        <v>42</v>
      </c>
      <c r="B22" s="27">
        <f>B8</f>
        <v>0.03</v>
      </c>
      <c r="C22" s="27">
        <f t="shared" ref="C22:E22" si="2">C8</f>
        <v>0.05</v>
      </c>
      <c r="D22" s="27">
        <f t="shared" si="2"/>
        <v>0.06</v>
      </c>
      <c r="E22" s="27">
        <f t="shared" si="2"/>
        <v>7.0000000000000007E-2</v>
      </c>
      <c r="F22" s="39"/>
    </row>
    <row r="23" spans="1:7" x14ac:dyDescent="0.25">
      <c r="A23" s="129" t="s">
        <v>79</v>
      </c>
      <c r="B23" s="130">
        <f>$H$6</f>
        <v>0.15</v>
      </c>
      <c r="C23" s="130">
        <f t="shared" ref="C23:E23" si="3">$H$6</f>
        <v>0.15</v>
      </c>
      <c r="D23" s="130">
        <f t="shared" si="3"/>
        <v>0.15</v>
      </c>
      <c r="E23" s="130">
        <f t="shared" si="3"/>
        <v>0.15</v>
      </c>
      <c r="F23" s="7"/>
    </row>
    <row r="24" spans="1:7" x14ac:dyDescent="0.25">
      <c r="A24" s="22" t="s">
        <v>74</v>
      </c>
      <c r="B24" s="23">
        <f>B21*B22*B9</f>
        <v>1.02</v>
      </c>
      <c r="C24" s="23">
        <f t="shared" ref="C24:E24" si="4">C21*C22*C9</f>
        <v>1.71</v>
      </c>
      <c r="D24" s="23">
        <f t="shared" si="4"/>
        <v>2.1659999999999999</v>
      </c>
      <c r="E24" s="23">
        <f t="shared" si="4"/>
        <v>2.6459999999999999</v>
      </c>
      <c r="F24" s="44"/>
    </row>
    <row r="25" spans="1:7" x14ac:dyDescent="0.25">
      <c r="A25" s="9" t="s">
        <v>12</v>
      </c>
      <c r="B25" s="90">
        <f>(C25+B24)/(1+B23)</f>
        <v>18.102375277389665</v>
      </c>
      <c r="C25" s="90">
        <f t="shared" ref="C25:D25" si="5">(D25+C24)/(1+C23)</f>
        <v>19.797731568998113</v>
      </c>
      <c r="D25" s="90">
        <f t="shared" si="5"/>
        <v>21.057391304347828</v>
      </c>
      <c r="E25" s="90">
        <f>E24/(E23-H7)</f>
        <v>22.05</v>
      </c>
      <c r="F25" s="44"/>
    </row>
    <row r="26" spans="1:7" x14ac:dyDescent="0.25">
      <c r="E26" s="2"/>
      <c r="F26" s="2"/>
    </row>
    <row r="27" spans="1:7" x14ac:dyDescent="0.25">
      <c r="A27" s="57" t="s">
        <v>59</v>
      </c>
      <c r="B27" s="6"/>
      <c r="C27" s="6"/>
      <c r="D27" s="6"/>
    </row>
    <row r="28" spans="1:7" x14ac:dyDescent="0.25">
      <c r="A28" s="71" t="s">
        <v>58</v>
      </c>
      <c r="B28" s="100">
        <f ca="1">B38</f>
        <v>0.46980722183775547</v>
      </c>
      <c r="C28" s="19">
        <f ca="1">C38</f>
        <v>0.46498636098607182</v>
      </c>
      <c r="D28" s="19">
        <f ca="1">D38</f>
        <v>0.46340971993934305</v>
      </c>
      <c r="E28" s="19">
        <f ca="1">E38</f>
        <v>0.48776748820647886</v>
      </c>
      <c r="F28" s="123"/>
    </row>
    <row r="29" spans="1:7" x14ac:dyDescent="0.25">
      <c r="A29" s="73" t="s">
        <v>10</v>
      </c>
      <c r="B29" s="101">
        <f ca="1">(1-B28)</f>
        <v>0.53019277816224453</v>
      </c>
      <c r="C29" s="20">
        <f ca="1">(1-C28)</f>
        <v>0.53501363901392818</v>
      </c>
      <c r="D29" s="20">
        <f ca="1">(1-D28)</f>
        <v>0.53659028006065701</v>
      </c>
      <c r="E29" s="20">
        <f ca="1">(1-E28)</f>
        <v>0.51223251179352114</v>
      </c>
      <c r="F29" s="123"/>
    </row>
    <row r="30" spans="1:7" x14ac:dyDescent="0.25">
      <c r="A30" s="73" t="s">
        <v>13</v>
      </c>
      <c r="B30" s="102">
        <f ca="1">B28/B29</f>
        <v>0.88610641485197594</v>
      </c>
      <c r="C30" s="18">
        <f ca="1">C28/C29</f>
        <v>0.86911122834752008</v>
      </c>
      <c r="D30" s="18">
        <f ca="1">D28/D29</f>
        <v>0.86361929606134213</v>
      </c>
      <c r="E30" s="18">
        <f ca="1">E28/E29</f>
        <v>0.95223844050550221</v>
      </c>
      <c r="F30" s="123"/>
    </row>
    <row r="31" spans="1:7" ht="18.75" x14ac:dyDescent="0.35">
      <c r="A31" s="71" t="s">
        <v>60</v>
      </c>
      <c r="B31" s="72">
        <f>B8*(1-B9)</f>
        <v>2.4E-2</v>
      </c>
      <c r="C31" s="72">
        <f t="shared" ref="C31:E31" si="6">C8*(1-C9)</f>
        <v>4.0500000000000008E-2</v>
      </c>
      <c r="D31" s="72">
        <f t="shared" si="6"/>
        <v>4.8600000000000004E-2</v>
      </c>
      <c r="E31" s="72">
        <f t="shared" si="6"/>
        <v>5.7400000000000007E-2</v>
      </c>
      <c r="F31" s="123"/>
    </row>
    <row r="32" spans="1:7" ht="17.25" x14ac:dyDescent="0.3">
      <c r="A32" s="97" t="s">
        <v>62</v>
      </c>
      <c r="B32" s="98">
        <f ca="1">$H$6+($H$6-B8)*B28/B29</f>
        <v>0.25633276978223707</v>
      </c>
      <c r="C32" s="98">
        <f ca="1">$H$6+($H$6-C8)*C28/C29</f>
        <v>0.23691112283475202</v>
      </c>
      <c r="D32" s="98">
        <f ca="1">$H$6+($H$6-D8)*D28/D29</f>
        <v>0.22772573664552079</v>
      </c>
      <c r="E32" s="98">
        <f ca="1">$H$6+($H$6-E8)*E28/E29</f>
        <v>0.22617907524044017</v>
      </c>
      <c r="F32" s="122"/>
      <c r="G32" s="45"/>
    </row>
    <row r="33" spans="1:6" x14ac:dyDescent="0.25">
      <c r="A33" s="77" t="s">
        <v>63</v>
      </c>
      <c r="B33" s="104">
        <f ca="1">B31*B28+B32*B29</f>
        <v>0.14718115666897344</v>
      </c>
      <c r="C33" s="104">
        <f t="shared" ref="C33:E33" ca="1" si="7">C31*C28+C32*C29</f>
        <v>0.14558262957063234</v>
      </c>
      <c r="D33" s="104">
        <f t="shared" ca="1" si="7"/>
        <v>0.1447171291926915</v>
      </c>
      <c r="E33" s="104">
        <f t="shared" ca="1" si="7"/>
        <v>0.14385412964859837</v>
      </c>
      <c r="F33" s="123"/>
    </row>
    <row r="34" spans="1:6" x14ac:dyDescent="0.25">
      <c r="A34" s="17" t="s">
        <v>14</v>
      </c>
      <c r="B34" s="24">
        <f>B15</f>
        <v>28</v>
      </c>
      <c r="C34" s="24">
        <f t="shared" ref="C34:E34" si="8">C15</f>
        <v>33.46</v>
      </c>
      <c r="D34" s="24">
        <f t="shared" si="8"/>
        <v>38.806000000000012</v>
      </c>
      <c r="E34" s="24">
        <f t="shared" si="8"/>
        <v>49.017960000000009</v>
      </c>
      <c r="F34" s="44"/>
    </row>
    <row r="35" spans="1:6" x14ac:dyDescent="0.25">
      <c r="A35" s="15" t="s">
        <v>5</v>
      </c>
      <c r="B35" s="16">
        <f ca="1">(C35+B34)/(1+B33)</f>
        <v>361.85054656036829</v>
      </c>
      <c r="C35" s="16">
        <f ca="1">(D35+C34)/(1+C33)</f>
        <v>387.10812854442349</v>
      </c>
      <c r="D35" s="16">
        <f ca="1">(E35+D34)/(1+D33)</f>
        <v>410.00434782608704</v>
      </c>
      <c r="E35" s="16">
        <f ca="1">E34/(E33-H7)</f>
        <v>430.53300000000007</v>
      </c>
      <c r="F35" s="6"/>
    </row>
    <row r="36" spans="1:6" x14ac:dyDescent="0.25">
      <c r="A36" s="17" t="s">
        <v>38</v>
      </c>
      <c r="B36" s="108">
        <f>B5</f>
        <v>170</v>
      </c>
      <c r="C36" s="108">
        <f>C5</f>
        <v>180</v>
      </c>
      <c r="D36" s="108">
        <f>D5</f>
        <v>190</v>
      </c>
      <c r="E36" s="108">
        <f>E5</f>
        <v>210</v>
      </c>
      <c r="F36" s="44"/>
    </row>
    <row r="37" spans="1:6" x14ac:dyDescent="0.25">
      <c r="A37" s="80" t="s">
        <v>49</v>
      </c>
      <c r="B37" s="81">
        <f ca="1">B35-B36</f>
        <v>191.85054656036829</v>
      </c>
      <c r="C37" s="37">
        <f t="shared" ref="C37:E37" ca="1" si="9">C35-C36</f>
        <v>207.10812854442349</v>
      </c>
      <c r="D37" s="37">
        <f t="shared" ca="1" si="9"/>
        <v>220.00434782608704</v>
      </c>
      <c r="E37" s="37">
        <f t="shared" ca="1" si="9"/>
        <v>220.53300000000007</v>
      </c>
      <c r="F37" s="43"/>
    </row>
    <row r="38" spans="1:6" ht="18.75" x14ac:dyDescent="0.35">
      <c r="A38" s="13" t="s">
        <v>46</v>
      </c>
      <c r="B38" s="32">
        <f ca="1">B36/B35</f>
        <v>0.46980722183775547</v>
      </c>
      <c r="C38" s="32">
        <f t="shared" ref="C38:E38" ca="1" si="10">C36/C35</f>
        <v>0.46498636098607182</v>
      </c>
      <c r="D38" s="32">
        <f t="shared" ca="1" si="10"/>
        <v>0.46340971993934305</v>
      </c>
      <c r="E38" s="32">
        <f t="shared" ca="1" si="10"/>
        <v>0.48776748820647886</v>
      </c>
      <c r="F38" s="123"/>
    </row>
    <row r="40" spans="1:6" x14ac:dyDescent="0.25">
      <c r="A40" s="57" t="s">
        <v>67</v>
      </c>
    </row>
    <row r="41" spans="1:6" x14ac:dyDescent="0.25">
      <c r="A41" s="17" t="s">
        <v>6</v>
      </c>
      <c r="B41" s="24">
        <f>B18</f>
        <v>33.92</v>
      </c>
      <c r="C41" s="24">
        <f t="shared" ref="C41:E41" si="11">C18</f>
        <v>36.17</v>
      </c>
      <c r="D41" s="24">
        <f t="shared" si="11"/>
        <v>49.57200000000001</v>
      </c>
      <c r="E41" s="24">
        <f t="shared" si="11"/>
        <v>43.263960000000004</v>
      </c>
      <c r="F41" s="38"/>
    </row>
    <row r="42" spans="1:6" ht="17.25" x14ac:dyDescent="0.3">
      <c r="A42" s="97" t="s">
        <v>62</v>
      </c>
      <c r="B42" s="103">
        <f ca="1">B32</f>
        <v>0.25633276978223707</v>
      </c>
      <c r="C42" s="103">
        <f ca="1">C32</f>
        <v>0.23691112283475202</v>
      </c>
      <c r="D42" s="103">
        <f ca="1">D32</f>
        <v>0.22772573664552079</v>
      </c>
      <c r="E42" s="103">
        <f ca="1">E32</f>
        <v>0.22617907524044017</v>
      </c>
      <c r="F42" s="124"/>
    </row>
    <row r="43" spans="1:6" x14ac:dyDescent="0.25">
      <c r="A43" s="83" t="s">
        <v>49</v>
      </c>
      <c r="B43" s="106">
        <f ca="1">(C43+B41)/(1+B42)</f>
        <v>191.85054656036829</v>
      </c>
      <c r="C43" s="107">
        <f ca="1">(D43+C41)/(1+C42)</f>
        <v>207.10812854442352</v>
      </c>
      <c r="D43" s="107">
        <f ca="1">(E43+D41)/(1+D42)</f>
        <v>220.00434782608704</v>
      </c>
      <c r="E43" s="107">
        <f ca="1">E41/(E42-H7)</f>
        <v>220.53300000000004</v>
      </c>
      <c r="F43" s="125"/>
    </row>
    <row r="44" spans="1:6" x14ac:dyDescent="0.25">
      <c r="A44" s="7"/>
    </row>
    <row r="45" spans="1:6" x14ac:dyDescent="0.25">
      <c r="A45" s="57" t="s">
        <v>64</v>
      </c>
      <c r="B45" s="3"/>
      <c r="C45" s="3"/>
      <c r="D45" s="3"/>
    </row>
    <row r="46" spans="1:6" ht="17.25" x14ac:dyDescent="0.3">
      <c r="A46" s="75" t="s">
        <v>53</v>
      </c>
      <c r="B46" s="76">
        <f>$H$6</f>
        <v>0.15</v>
      </c>
      <c r="C46" s="76">
        <f>$H$6</f>
        <v>0.15</v>
      </c>
      <c r="D46" s="76">
        <f>$H$6</f>
        <v>0.15</v>
      </c>
      <c r="E46" s="76">
        <f>$H$6</f>
        <v>0.15</v>
      </c>
      <c r="F46" s="126"/>
    </row>
    <row r="47" spans="1:6" x14ac:dyDescent="0.25">
      <c r="A47" s="12" t="s">
        <v>14</v>
      </c>
      <c r="B47" s="21">
        <f>B15</f>
        <v>28</v>
      </c>
      <c r="C47" s="21">
        <f t="shared" ref="C47:E47" si="12">C15</f>
        <v>33.46</v>
      </c>
      <c r="D47" s="21">
        <f t="shared" si="12"/>
        <v>38.806000000000012</v>
      </c>
      <c r="E47" s="21">
        <f t="shared" si="12"/>
        <v>49.017960000000009</v>
      </c>
      <c r="F47" s="44"/>
    </row>
    <row r="48" spans="1:6" x14ac:dyDescent="0.25">
      <c r="A48" s="86" t="s">
        <v>51</v>
      </c>
      <c r="B48" s="34">
        <f>(C48+B47)/(1+B46)</f>
        <v>343.74817128297866</v>
      </c>
      <c r="C48" s="14">
        <f>(D48+C47)/(1+C46)</f>
        <v>367.31039697542542</v>
      </c>
      <c r="D48" s="14">
        <f>(E48+D47)/(1+D46)</f>
        <v>388.94695652173925</v>
      </c>
      <c r="E48" s="14">
        <f>E47/(E46-$H$7)</f>
        <v>408.48300000000012</v>
      </c>
      <c r="F48" s="44"/>
    </row>
    <row r="49" spans="1:6" x14ac:dyDescent="0.25">
      <c r="A49" s="13" t="s">
        <v>137</v>
      </c>
      <c r="B49" s="34">
        <f>B25</f>
        <v>18.102375277389665</v>
      </c>
      <c r="C49" s="34">
        <f t="shared" ref="C49:E49" si="13">C25</f>
        <v>19.797731568998113</v>
      </c>
      <c r="D49" s="34">
        <f t="shared" si="13"/>
        <v>21.057391304347828</v>
      </c>
      <c r="E49" s="34">
        <f t="shared" si="13"/>
        <v>22.05</v>
      </c>
      <c r="F49" s="44"/>
    </row>
    <row r="50" spans="1:6" x14ac:dyDescent="0.25">
      <c r="A50" s="35" t="s">
        <v>9</v>
      </c>
      <c r="B50" s="36">
        <f>B48+B49</f>
        <v>361.85054656036834</v>
      </c>
      <c r="C50" s="36">
        <f>C48+C49</f>
        <v>387.10812854442355</v>
      </c>
      <c r="D50" s="36">
        <f>D48+D49</f>
        <v>410.0043478260871</v>
      </c>
      <c r="E50" s="36">
        <f>E48+E49</f>
        <v>430.53300000000013</v>
      </c>
      <c r="F50" s="6"/>
    </row>
    <row r="51" spans="1:6" x14ac:dyDescent="0.25">
      <c r="A51" s="40" t="s">
        <v>2</v>
      </c>
      <c r="B51" s="41">
        <f>B5</f>
        <v>170</v>
      </c>
      <c r="C51" s="41">
        <f>C5</f>
        <v>180</v>
      </c>
      <c r="D51" s="41">
        <f>D5</f>
        <v>190</v>
      </c>
      <c r="E51" s="41">
        <f>E5</f>
        <v>210</v>
      </c>
      <c r="F51" s="6"/>
    </row>
    <row r="52" spans="1:6" x14ac:dyDescent="0.25">
      <c r="A52" s="83" t="s">
        <v>49</v>
      </c>
      <c r="B52" s="105">
        <f>B50-B51</f>
        <v>191.85054656036834</v>
      </c>
      <c r="C52" s="85">
        <f t="shared" ref="C52:E52" si="14">C50-C51</f>
        <v>207.10812854442355</v>
      </c>
      <c r="D52" s="85">
        <f t="shared" si="14"/>
        <v>220.0043478260871</v>
      </c>
      <c r="E52" s="85">
        <f t="shared" si="14"/>
        <v>220.53300000000013</v>
      </c>
      <c r="F52" s="43"/>
    </row>
    <row r="53" spans="1:6" x14ac:dyDescent="0.25">
      <c r="B53" s="8"/>
      <c r="C53" s="1"/>
      <c r="D53" s="1"/>
      <c r="E53" s="8"/>
      <c r="F53" s="8"/>
    </row>
    <row r="57" spans="1:6" x14ac:dyDescent="0.25">
      <c r="A57" s="7"/>
    </row>
    <row r="58" spans="1:6" x14ac:dyDescent="0.25">
      <c r="A58" s="7"/>
    </row>
    <row r="59" spans="1:6" x14ac:dyDescent="0.25">
      <c r="A59" s="7"/>
    </row>
    <row r="60" spans="1:6" x14ac:dyDescent="0.25">
      <c r="A60" s="7"/>
    </row>
    <row r="61" spans="1:6" x14ac:dyDescent="0.25">
      <c r="A61" s="7"/>
    </row>
    <row r="62" spans="1:6" x14ac:dyDescent="0.25">
      <c r="A62" s="7"/>
    </row>
    <row r="63" spans="1:6" x14ac:dyDescent="0.25">
      <c r="A63" s="7"/>
    </row>
    <row r="64" spans="1:6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phoneticPr fontId="10" type="noConversion"/>
  <hyperlinks>
    <hyperlink ref="I1" location="Úvod!A31" display="Skok na obsah" xr:uid="{37519DEB-43B9-4B0D-94F7-CD3B3126FF61}"/>
  </hyperlinks>
  <printOptions gridLinesSet="0"/>
  <pageMargins left="0.78740157480314965" right="0.78740157480314965" top="0.98425196850393704" bottom="0.78740157480314965" header="0.51181102362204722" footer="0.51181102362204722"/>
  <pageSetup paperSize="9" scale="79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2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10.625" customWidth="1"/>
  </cols>
  <sheetData>
    <row r="1" spans="1:9" ht="18.75" x14ac:dyDescent="0.3">
      <c r="A1" s="53" t="s">
        <v>95</v>
      </c>
      <c r="B1" s="54" t="s">
        <v>71</v>
      </c>
      <c r="I1" s="172" t="s">
        <v>164</v>
      </c>
    </row>
    <row r="2" spans="1:9" x14ac:dyDescent="0.25">
      <c r="B2" s="54" t="s">
        <v>81</v>
      </c>
    </row>
    <row r="3" spans="1:9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F3" s="120"/>
    </row>
    <row r="4" spans="1:9" x14ac:dyDescent="0.25">
      <c r="A4" s="57" t="s">
        <v>88</v>
      </c>
    </row>
    <row r="5" spans="1:9" x14ac:dyDescent="0.25">
      <c r="A5" s="17" t="s">
        <v>38</v>
      </c>
      <c r="B5" s="91">
        <f>'3 -MM, růst, iterace'!B5</f>
        <v>170</v>
      </c>
      <c r="C5" s="24">
        <f>'3 -MM, růst, iterace'!C5</f>
        <v>180</v>
      </c>
      <c r="D5" s="24">
        <f>'3 -MM, růst, iterace'!D5</f>
        <v>190</v>
      </c>
      <c r="E5" s="24">
        <f>'3 -MM, růst, iterace'!E5</f>
        <v>210</v>
      </c>
      <c r="F5" s="39"/>
      <c r="G5" s="1" t="s">
        <v>37</v>
      </c>
      <c r="H5" s="87"/>
    </row>
    <row r="6" spans="1:9" ht="18.75" x14ac:dyDescent="0.35">
      <c r="A6" s="13" t="s">
        <v>39</v>
      </c>
      <c r="B6" s="34">
        <f>'3 -MM, růst, iterace'!B6</f>
        <v>180</v>
      </c>
      <c r="C6" s="14">
        <f>'3 -MM, růst, iterace'!C6</f>
        <v>190</v>
      </c>
      <c r="D6" s="14">
        <f>'3 -MM, růst, iterace'!D6</f>
        <v>200</v>
      </c>
      <c r="E6" s="14">
        <f>'3 -MM, růst, iterace'!E6</f>
        <v>200</v>
      </c>
      <c r="F6" s="39"/>
      <c r="G6" s="17" t="s">
        <v>35</v>
      </c>
      <c r="H6" s="94">
        <f>'3 -MM, růst, iterace'!H6</f>
        <v>0.15</v>
      </c>
    </row>
    <row r="7" spans="1:9" x14ac:dyDescent="0.25">
      <c r="A7" s="30" t="s">
        <v>40</v>
      </c>
      <c r="B7" s="31">
        <f>B5+B6</f>
        <v>350</v>
      </c>
      <c r="C7" s="31">
        <f>C5+C6</f>
        <v>370</v>
      </c>
      <c r="D7" s="31">
        <f>D5+D6</f>
        <v>390</v>
      </c>
      <c r="E7" s="31">
        <f>E5+E6</f>
        <v>410</v>
      </c>
      <c r="F7" s="39"/>
      <c r="G7" s="13" t="s">
        <v>8</v>
      </c>
      <c r="H7" s="119">
        <f>'3 -MM, růst, iterace'!H7</f>
        <v>0.03</v>
      </c>
    </row>
    <row r="8" spans="1:9" ht="18.75" x14ac:dyDescent="0.35">
      <c r="A8" s="12" t="s">
        <v>42</v>
      </c>
      <c r="B8" s="27">
        <f>'3 -MM, růst, iterace'!B8</f>
        <v>0.03</v>
      </c>
      <c r="C8" s="27">
        <f>'3 -MM, růst, iterace'!C8</f>
        <v>0.05</v>
      </c>
      <c r="D8" s="27">
        <f>'3 -MM, růst, iterace'!D8</f>
        <v>0.06</v>
      </c>
      <c r="E8" s="68">
        <f>'3 -MM, růst, iterace'!E8</f>
        <v>7.0000000000000007E-2</v>
      </c>
      <c r="F8" s="121"/>
    </row>
    <row r="9" spans="1:9" x14ac:dyDescent="0.25">
      <c r="A9" s="13" t="s">
        <v>57</v>
      </c>
      <c r="B9" s="28">
        <f>'3 -MM, růst, iterace'!B9</f>
        <v>0.2</v>
      </c>
      <c r="C9" s="28">
        <f>'3 -MM, růst, iterace'!C9</f>
        <v>0.19</v>
      </c>
      <c r="D9" s="28">
        <f>'3 -MM, růst, iterace'!D9</f>
        <v>0.19</v>
      </c>
      <c r="E9" s="69">
        <f>'3 -MM, růst, iterace'!E9</f>
        <v>0.18</v>
      </c>
      <c r="F9" s="121"/>
    </row>
    <row r="10" spans="1:9" x14ac:dyDescent="0.25">
      <c r="A10" s="9" t="s">
        <v>15</v>
      </c>
      <c r="B10" s="90">
        <f>'3 -MM, růst, iterace'!B10</f>
        <v>60</v>
      </c>
      <c r="C10" s="33">
        <f>'3 -MM, růst, iterace'!C10</f>
        <v>66</v>
      </c>
      <c r="D10" s="33">
        <f>'3 -MM, růst, iterace'!D10</f>
        <v>72.600000000000009</v>
      </c>
      <c r="E10" s="33">
        <f>'3 -MM, růst, iterace'!E10</f>
        <v>74.778000000000006</v>
      </c>
      <c r="F10" s="39"/>
    </row>
    <row r="12" spans="1:9" x14ac:dyDescent="0.25">
      <c r="A12" s="57" t="s">
        <v>61</v>
      </c>
    </row>
    <row r="13" spans="1:9" x14ac:dyDescent="0.25">
      <c r="A13" s="17" t="s">
        <v>16</v>
      </c>
      <c r="B13" s="24">
        <f>B10*(1-B9)</f>
        <v>48</v>
      </c>
      <c r="C13" s="24">
        <f>C10*(1-C9)</f>
        <v>53.46</v>
      </c>
      <c r="D13" s="24">
        <f>D10*(1-D9)</f>
        <v>58.806000000000012</v>
      </c>
      <c r="E13" s="24">
        <f>E10*(1-E9)</f>
        <v>61.317960000000006</v>
      </c>
      <c r="F13" s="39"/>
    </row>
    <row r="14" spans="1:9" x14ac:dyDescent="0.25">
      <c r="A14" s="13" t="s">
        <v>41</v>
      </c>
      <c r="B14" s="14">
        <f>-(C7-B7)</f>
        <v>-20</v>
      </c>
      <c r="C14" s="14">
        <f>-(D7-C7)</f>
        <v>-20</v>
      </c>
      <c r="D14" s="14">
        <f>-(E7-D7)</f>
        <v>-20</v>
      </c>
      <c r="E14" s="14">
        <f>-E7*H7</f>
        <v>-12.299999999999999</v>
      </c>
      <c r="F14" s="39"/>
    </row>
    <row r="15" spans="1:9" x14ac:dyDescent="0.25">
      <c r="A15" s="30" t="s">
        <v>14</v>
      </c>
      <c r="B15" s="31">
        <f>B13+B14</f>
        <v>28</v>
      </c>
      <c r="C15" s="31">
        <f>C13+C14</f>
        <v>33.46</v>
      </c>
      <c r="D15" s="31">
        <f>D13+D14</f>
        <v>38.806000000000012</v>
      </c>
      <c r="E15" s="31">
        <f>E13+E14</f>
        <v>49.017960000000009</v>
      </c>
      <c r="F15" s="39"/>
    </row>
    <row r="16" spans="1:9" ht="18.75" x14ac:dyDescent="0.35">
      <c r="A16" s="82" t="s">
        <v>48</v>
      </c>
      <c r="B16" s="21">
        <f>-B8*B5*(1-B9)</f>
        <v>-4.08</v>
      </c>
      <c r="C16" s="21">
        <f>-C8*C5*(1-C9)</f>
        <v>-7.2900000000000009</v>
      </c>
      <c r="D16" s="21">
        <f>-D8*D5*(1-D9)</f>
        <v>-9.2340000000000018</v>
      </c>
      <c r="E16" s="21">
        <f>-E8*E5*(1-E9)</f>
        <v>-12.054000000000002</v>
      </c>
      <c r="F16" s="39"/>
    </row>
    <row r="17" spans="1:7" x14ac:dyDescent="0.25">
      <c r="A17" s="25" t="s">
        <v>11</v>
      </c>
      <c r="B17" s="21">
        <f>C5-B5</f>
        <v>10</v>
      </c>
      <c r="C17" s="21">
        <f>D5-C5</f>
        <v>10</v>
      </c>
      <c r="D17" s="21">
        <f>E5-D5</f>
        <v>20</v>
      </c>
      <c r="E17" s="21">
        <f>E5*H7</f>
        <v>6.3</v>
      </c>
      <c r="F17" s="39"/>
    </row>
    <row r="18" spans="1:7" x14ac:dyDescent="0.25">
      <c r="A18" s="9" t="s">
        <v>6</v>
      </c>
      <c r="B18" s="99">
        <f>SUM(B15:B17)</f>
        <v>33.92</v>
      </c>
      <c r="C18" s="90">
        <f t="shared" ref="C18:E18" si="0">SUM(C15:C17)</f>
        <v>36.17</v>
      </c>
      <c r="D18" s="90">
        <f t="shared" si="0"/>
        <v>49.57200000000001</v>
      </c>
      <c r="E18" s="33">
        <f t="shared" si="0"/>
        <v>43.263960000000004</v>
      </c>
      <c r="F18" s="39"/>
    </row>
    <row r="20" spans="1:7" ht="17.25" x14ac:dyDescent="0.3">
      <c r="A20" s="57" t="s">
        <v>82</v>
      </c>
      <c r="B20" s="38"/>
      <c r="C20" s="38"/>
      <c r="D20" s="38"/>
      <c r="E20" s="39"/>
      <c r="F20" s="39"/>
    </row>
    <row r="21" spans="1:7" x14ac:dyDescent="0.25">
      <c r="A21" s="22" t="s">
        <v>38</v>
      </c>
      <c r="B21" s="128">
        <f>B5</f>
        <v>170</v>
      </c>
      <c r="C21" s="23">
        <f t="shared" ref="C21:E21" si="1">C5</f>
        <v>180</v>
      </c>
      <c r="D21" s="23">
        <f t="shared" si="1"/>
        <v>190</v>
      </c>
      <c r="E21" s="89">
        <f t="shared" si="1"/>
        <v>210</v>
      </c>
      <c r="F21" s="39"/>
    </row>
    <row r="22" spans="1:7" ht="18.75" x14ac:dyDescent="0.35">
      <c r="A22" s="12" t="s">
        <v>42</v>
      </c>
      <c r="B22" s="27">
        <f>B8</f>
        <v>0.03</v>
      </c>
      <c r="C22" s="27">
        <f t="shared" ref="C22:E22" si="2">C8</f>
        <v>0.05</v>
      </c>
      <c r="D22" s="27">
        <f t="shared" si="2"/>
        <v>0.06</v>
      </c>
      <c r="E22" s="27">
        <f t="shared" si="2"/>
        <v>7.0000000000000007E-2</v>
      </c>
      <c r="F22" s="39"/>
    </row>
    <row r="23" spans="1:7" x14ac:dyDescent="0.25">
      <c r="A23" s="129" t="s">
        <v>79</v>
      </c>
      <c r="B23" s="132">
        <f>B22</f>
        <v>0.03</v>
      </c>
      <c r="C23" s="130">
        <f t="shared" ref="C23:E23" si="3">$H$6</f>
        <v>0.15</v>
      </c>
      <c r="D23" s="130">
        <f t="shared" si="3"/>
        <v>0.15</v>
      </c>
      <c r="E23" s="130">
        <f t="shared" si="3"/>
        <v>0.15</v>
      </c>
      <c r="F23" s="39"/>
    </row>
    <row r="24" spans="1:7" x14ac:dyDescent="0.25">
      <c r="A24" s="22" t="s">
        <v>74</v>
      </c>
      <c r="B24" s="23">
        <f>B21*B22*B9</f>
        <v>1.02</v>
      </c>
      <c r="C24" s="23">
        <f t="shared" ref="C24:E24" si="4">C21*C22*C9</f>
        <v>1.71</v>
      </c>
      <c r="D24" s="23">
        <f t="shared" si="4"/>
        <v>2.1659999999999999</v>
      </c>
      <c r="E24" s="23">
        <f t="shared" si="4"/>
        <v>2.6459999999999999</v>
      </c>
      <c r="F24" s="44"/>
    </row>
    <row r="25" spans="1:7" x14ac:dyDescent="0.25">
      <c r="A25" s="9" t="s">
        <v>12</v>
      </c>
      <c r="B25" s="90">
        <f>(C25+B24)/(1+B23)</f>
        <v>20.211389872813701</v>
      </c>
      <c r="C25" s="90">
        <f t="shared" ref="C25:D25" si="5">(D25+C24)/(1+C23)</f>
        <v>19.797731568998113</v>
      </c>
      <c r="D25" s="90">
        <f t="shared" si="5"/>
        <v>21.057391304347828</v>
      </c>
      <c r="E25" s="90">
        <f>E24/(E23-H7)</f>
        <v>22.05</v>
      </c>
      <c r="F25" s="44"/>
    </row>
    <row r="26" spans="1:7" x14ac:dyDescent="0.25">
      <c r="E26" s="2"/>
      <c r="F26" s="2"/>
    </row>
    <row r="27" spans="1:7" x14ac:dyDescent="0.25">
      <c r="A27" s="57" t="s">
        <v>59</v>
      </c>
      <c r="B27" s="6"/>
      <c r="C27" s="6"/>
      <c r="D27" s="6"/>
    </row>
    <row r="28" spans="1:7" x14ac:dyDescent="0.25">
      <c r="A28" s="71" t="s">
        <v>58</v>
      </c>
      <c r="B28" s="100">
        <f ca="1">B38</f>
        <v>0.46708485816431616</v>
      </c>
      <c r="C28" s="19">
        <f ca="1">C38</f>
        <v>0.46498636098607182</v>
      </c>
      <c r="D28" s="19">
        <f ca="1">D38</f>
        <v>0.46340971993934305</v>
      </c>
      <c r="E28" s="19">
        <f ca="1">E38</f>
        <v>0.48776748820647886</v>
      </c>
      <c r="F28" s="123"/>
    </row>
    <row r="29" spans="1:7" x14ac:dyDescent="0.25">
      <c r="A29" s="73" t="s">
        <v>10</v>
      </c>
      <c r="B29" s="101">
        <f ca="1">(1-B28)</f>
        <v>0.53291514183568389</v>
      </c>
      <c r="C29" s="20">
        <f ca="1">(1-C28)</f>
        <v>0.53501363901392818</v>
      </c>
      <c r="D29" s="20">
        <f ca="1">(1-D28)</f>
        <v>0.53659028006065701</v>
      </c>
      <c r="E29" s="20">
        <f ca="1">(1-E28)</f>
        <v>0.51223251179352114</v>
      </c>
      <c r="F29" s="123"/>
    </row>
    <row r="30" spans="1:7" x14ac:dyDescent="0.25">
      <c r="A30" s="73" t="s">
        <v>13</v>
      </c>
      <c r="B30" s="102">
        <f ca="1">B28/B29</f>
        <v>0.87647135818920774</v>
      </c>
      <c r="C30" s="18">
        <f ca="1">C28/C29</f>
        <v>0.86911122834752008</v>
      </c>
      <c r="D30" s="18">
        <f ca="1">D28/D29</f>
        <v>0.86361929606134213</v>
      </c>
      <c r="E30" s="18">
        <f ca="1">E28/E29</f>
        <v>0.95223844050550221</v>
      </c>
      <c r="F30" s="123"/>
    </row>
    <row r="31" spans="1:7" ht="18.75" x14ac:dyDescent="0.35">
      <c r="A31" s="71" t="s">
        <v>60</v>
      </c>
      <c r="B31" s="72">
        <f>B8*(1-B9)</f>
        <v>2.4E-2</v>
      </c>
      <c r="C31" s="72">
        <f t="shared" ref="C31:E31" si="6">C8*(1-C9)</f>
        <v>4.0500000000000008E-2</v>
      </c>
      <c r="D31" s="72">
        <f t="shared" si="6"/>
        <v>4.8600000000000004E-2</v>
      </c>
      <c r="E31" s="72">
        <f t="shared" si="6"/>
        <v>5.7400000000000007E-2</v>
      </c>
      <c r="F31" s="123"/>
    </row>
    <row r="32" spans="1:7" ht="17.25" x14ac:dyDescent="0.3">
      <c r="A32" s="97" t="s">
        <v>62</v>
      </c>
      <c r="B32" s="131">
        <f ca="1">$H$6+($H$6-B8)*(B5-B25)/B37</f>
        <v>0.24267206580666967</v>
      </c>
      <c r="C32" s="98">
        <f ca="1">$H$6+($H$6-C8)*C28/C29</f>
        <v>0.23691112283475202</v>
      </c>
      <c r="D32" s="98">
        <f ca="1">$H$6+($H$6-D8)*D28/D29</f>
        <v>0.22772573664552079</v>
      </c>
      <c r="E32" s="98">
        <f ca="1">$H$6+($H$6-E8)*E28/E29</f>
        <v>0.22617907524044017</v>
      </c>
      <c r="F32" s="122"/>
      <c r="G32" s="45"/>
    </row>
    <row r="33" spans="1:6" x14ac:dyDescent="0.25">
      <c r="A33" s="77" t="s">
        <v>63</v>
      </c>
      <c r="B33" s="104">
        <f ca="1">B31*B28+B32*B29</f>
        <v>0.14053365496486336</v>
      </c>
      <c r="C33" s="104">
        <f t="shared" ref="C33:E33" ca="1" si="7">C31*C28+C32*C29</f>
        <v>0.14558262957063234</v>
      </c>
      <c r="D33" s="104">
        <f t="shared" ca="1" si="7"/>
        <v>0.1447171291926915</v>
      </c>
      <c r="E33" s="104">
        <f t="shared" ca="1" si="7"/>
        <v>0.14385412964859837</v>
      </c>
      <c r="F33" s="123"/>
    </row>
    <row r="34" spans="1:6" x14ac:dyDescent="0.25">
      <c r="A34" s="17" t="s">
        <v>14</v>
      </c>
      <c r="B34" s="24">
        <f>B15</f>
        <v>28</v>
      </c>
      <c r="C34" s="24">
        <f t="shared" ref="C34:E34" si="8">C15</f>
        <v>33.46</v>
      </c>
      <c r="D34" s="24">
        <f t="shared" si="8"/>
        <v>38.806000000000012</v>
      </c>
      <c r="E34" s="24">
        <f t="shared" si="8"/>
        <v>49.017960000000009</v>
      </c>
      <c r="F34" s="44"/>
    </row>
    <row r="35" spans="1:6" x14ac:dyDescent="0.25">
      <c r="A35" s="15" t="s">
        <v>5</v>
      </c>
      <c r="B35" s="16">
        <f ca="1">(C35+B34)/(1+B33)</f>
        <v>363.9595611557923</v>
      </c>
      <c r="C35" s="16">
        <f ca="1">(D35+C34)/(1+C33)</f>
        <v>387.10812854442349</v>
      </c>
      <c r="D35" s="16">
        <f ca="1">(E35+D34)/(1+D33)</f>
        <v>410.00434782608704</v>
      </c>
      <c r="E35" s="16">
        <f ca="1">E34/(E33-H7)</f>
        <v>430.53300000000007</v>
      </c>
      <c r="F35" s="6"/>
    </row>
    <row r="36" spans="1:6" x14ac:dyDescent="0.25">
      <c r="A36" s="17" t="s">
        <v>38</v>
      </c>
      <c r="B36" s="108">
        <f>B5</f>
        <v>170</v>
      </c>
      <c r="C36" s="108">
        <f>C5</f>
        <v>180</v>
      </c>
      <c r="D36" s="108">
        <f>D5</f>
        <v>190</v>
      </c>
      <c r="E36" s="108">
        <f>E5</f>
        <v>210</v>
      </c>
      <c r="F36" s="44"/>
    </row>
    <row r="37" spans="1:6" x14ac:dyDescent="0.25">
      <c r="A37" s="80" t="s">
        <v>49</v>
      </c>
      <c r="B37" s="81">
        <f ca="1">B35-B36</f>
        <v>193.9595611557923</v>
      </c>
      <c r="C37" s="37">
        <f t="shared" ref="C37:E37" ca="1" si="9">C35-C36</f>
        <v>207.10812854442349</v>
      </c>
      <c r="D37" s="37">
        <f t="shared" ca="1" si="9"/>
        <v>220.00434782608704</v>
      </c>
      <c r="E37" s="37">
        <f t="shared" ca="1" si="9"/>
        <v>220.53300000000007</v>
      </c>
      <c r="F37" s="43"/>
    </row>
    <row r="38" spans="1:6" ht="18.75" x14ac:dyDescent="0.35">
      <c r="A38" s="13" t="s">
        <v>46</v>
      </c>
      <c r="B38" s="32">
        <f ca="1">B36/B35</f>
        <v>0.46708485816431616</v>
      </c>
      <c r="C38" s="32">
        <f t="shared" ref="C38:E38" ca="1" si="10">C36/C35</f>
        <v>0.46498636098607182</v>
      </c>
      <c r="D38" s="32">
        <f t="shared" ca="1" si="10"/>
        <v>0.46340971993934305</v>
      </c>
      <c r="E38" s="32">
        <f t="shared" ca="1" si="10"/>
        <v>0.48776748820647886</v>
      </c>
      <c r="F38" s="123"/>
    </row>
    <row r="39" spans="1:6" x14ac:dyDescent="0.25">
      <c r="F39" s="44"/>
    </row>
    <row r="40" spans="1:6" x14ac:dyDescent="0.25">
      <c r="A40" s="57" t="s">
        <v>67</v>
      </c>
      <c r="F40" s="44"/>
    </row>
    <row r="41" spans="1:6" x14ac:dyDescent="0.25">
      <c r="A41" s="17" t="s">
        <v>6</v>
      </c>
      <c r="B41" s="24">
        <f>B18</f>
        <v>33.92</v>
      </c>
      <c r="C41" s="24">
        <f t="shared" ref="C41:E41" si="11">C18</f>
        <v>36.17</v>
      </c>
      <c r="D41" s="24">
        <f t="shared" si="11"/>
        <v>49.57200000000001</v>
      </c>
      <c r="E41" s="24">
        <f t="shared" si="11"/>
        <v>43.263960000000004</v>
      </c>
      <c r="F41" s="38"/>
    </row>
    <row r="42" spans="1:6" ht="17.25" x14ac:dyDescent="0.3">
      <c r="A42" s="97" t="s">
        <v>62</v>
      </c>
      <c r="B42" s="103">
        <f ca="1">B32</f>
        <v>0.24267206580666967</v>
      </c>
      <c r="C42" s="103">
        <f ca="1">C32</f>
        <v>0.23691112283475202</v>
      </c>
      <c r="D42" s="103">
        <f ca="1">D32</f>
        <v>0.22772573664552079</v>
      </c>
      <c r="E42" s="103">
        <f ca="1">E32</f>
        <v>0.22617907524044017</v>
      </c>
      <c r="F42" s="124"/>
    </row>
    <row r="43" spans="1:6" x14ac:dyDescent="0.25">
      <c r="A43" s="83" t="s">
        <v>49</v>
      </c>
      <c r="B43" s="106">
        <f ca="1">(C43+B41)/(1+B42)</f>
        <v>193.9595611557923</v>
      </c>
      <c r="C43" s="107">
        <f ca="1">(D43+C41)/(1+C42)</f>
        <v>207.10812854442352</v>
      </c>
      <c r="D43" s="107">
        <f ca="1">(E43+D41)/(1+D42)</f>
        <v>220.00434782608704</v>
      </c>
      <c r="E43" s="107">
        <f ca="1">E41/(E42-H7)</f>
        <v>220.53300000000004</v>
      </c>
      <c r="F43" s="125"/>
    </row>
    <row r="44" spans="1:6" x14ac:dyDescent="0.25">
      <c r="A44" s="7"/>
    </row>
    <row r="45" spans="1:6" x14ac:dyDescent="0.25">
      <c r="A45" s="57" t="s">
        <v>64</v>
      </c>
      <c r="B45" s="3"/>
      <c r="C45" s="3"/>
      <c r="D45" s="3"/>
    </row>
    <row r="46" spans="1:6" ht="17.25" x14ac:dyDescent="0.3">
      <c r="A46" s="75" t="s">
        <v>53</v>
      </c>
      <c r="B46" s="76">
        <f>$H$6</f>
        <v>0.15</v>
      </c>
      <c r="C46" s="76">
        <f>$H$6</f>
        <v>0.15</v>
      </c>
      <c r="D46" s="76">
        <f>$H$6</f>
        <v>0.15</v>
      </c>
      <c r="E46" s="76">
        <f>$H$6</f>
        <v>0.15</v>
      </c>
      <c r="F46" s="126"/>
    </row>
    <row r="47" spans="1:6" x14ac:dyDescent="0.25">
      <c r="A47" s="12" t="s">
        <v>14</v>
      </c>
      <c r="B47" s="21">
        <f>B15</f>
        <v>28</v>
      </c>
      <c r="C47" s="21">
        <f t="shared" ref="C47:E47" si="12">C15</f>
        <v>33.46</v>
      </c>
      <c r="D47" s="21">
        <f t="shared" si="12"/>
        <v>38.806000000000012</v>
      </c>
      <c r="E47" s="21">
        <f t="shared" si="12"/>
        <v>49.017960000000009</v>
      </c>
      <c r="F47" s="44"/>
    </row>
    <row r="48" spans="1:6" x14ac:dyDescent="0.25">
      <c r="A48" s="86" t="s">
        <v>51</v>
      </c>
      <c r="B48" s="34">
        <f>(C48+B47)/(1+B46)</f>
        <v>343.74817128297866</v>
      </c>
      <c r="C48" s="14">
        <f>(D48+C47)/(1+C46)</f>
        <v>367.31039697542542</v>
      </c>
      <c r="D48" s="14">
        <f>(E48+D47)/(1+D46)</f>
        <v>388.94695652173925</v>
      </c>
      <c r="E48" s="14">
        <f>E47/(E46-$H$7)</f>
        <v>408.48300000000012</v>
      </c>
      <c r="F48" s="44"/>
    </row>
    <row r="49" spans="1:6" x14ac:dyDescent="0.25">
      <c r="A49" s="13" t="s">
        <v>137</v>
      </c>
      <c r="B49" s="34">
        <f>B25</f>
        <v>20.211389872813701</v>
      </c>
      <c r="C49" s="34">
        <f t="shared" ref="C49:E49" si="13">C25</f>
        <v>19.797731568998113</v>
      </c>
      <c r="D49" s="34">
        <f t="shared" si="13"/>
        <v>21.057391304347828</v>
      </c>
      <c r="E49" s="34">
        <f t="shared" si="13"/>
        <v>22.05</v>
      </c>
      <c r="F49" s="44"/>
    </row>
    <row r="50" spans="1:6" x14ac:dyDescent="0.25">
      <c r="A50" s="35" t="s">
        <v>9</v>
      </c>
      <c r="B50" s="36">
        <f>B48+B49</f>
        <v>363.95956115579236</v>
      </c>
      <c r="C50" s="36">
        <f>C48+C49</f>
        <v>387.10812854442355</v>
      </c>
      <c r="D50" s="36">
        <f>D48+D49</f>
        <v>410.0043478260871</v>
      </c>
      <c r="E50" s="36">
        <f>E48+E49</f>
        <v>430.53300000000013</v>
      </c>
      <c r="F50" s="6"/>
    </row>
    <row r="51" spans="1:6" x14ac:dyDescent="0.25">
      <c r="A51" s="40" t="s">
        <v>2</v>
      </c>
      <c r="B51" s="41">
        <f>B5</f>
        <v>170</v>
      </c>
      <c r="C51" s="41">
        <f>C5</f>
        <v>180</v>
      </c>
      <c r="D51" s="41">
        <f>D5</f>
        <v>190</v>
      </c>
      <c r="E51" s="41">
        <f>E5</f>
        <v>210</v>
      </c>
      <c r="F51" s="6"/>
    </row>
    <row r="52" spans="1:6" x14ac:dyDescent="0.25">
      <c r="A52" s="83" t="s">
        <v>49</v>
      </c>
      <c r="B52" s="105">
        <f>B50-B51</f>
        <v>193.95956115579236</v>
      </c>
      <c r="C52" s="85">
        <f t="shared" ref="C52:E52" si="14">C50-C51</f>
        <v>207.10812854442355</v>
      </c>
      <c r="D52" s="85">
        <f t="shared" si="14"/>
        <v>220.0043478260871</v>
      </c>
      <c r="E52" s="85">
        <f t="shared" si="14"/>
        <v>220.53300000000013</v>
      </c>
      <c r="F52" s="43"/>
    </row>
    <row r="53" spans="1:6" x14ac:dyDescent="0.25">
      <c r="B53" s="44"/>
      <c r="C53" s="1"/>
      <c r="D53" s="1"/>
      <c r="E53" s="8"/>
      <c r="F53" s="8"/>
    </row>
    <row r="57" spans="1:6" x14ac:dyDescent="0.25">
      <c r="A57" s="7"/>
    </row>
    <row r="58" spans="1:6" x14ac:dyDescent="0.25">
      <c r="A58" s="7"/>
    </row>
    <row r="59" spans="1:6" x14ac:dyDescent="0.25">
      <c r="A59" s="7"/>
    </row>
    <row r="60" spans="1:6" x14ac:dyDescent="0.25">
      <c r="A60" s="7"/>
    </row>
    <row r="61" spans="1:6" x14ac:dyDescent="0.25">
      <c r="A61" s="7"/>
    </row>
    <row r="62" spans="1:6" x14ac:dyDescent="0.25">
      <c r="A62" s="7"/>
    </row>
    <row r="63" spans="1:6" x14ac:dyDescent="0.25">
      <c r="A63" s="7"/>
    </row>
    <row r="64" spans="1:6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phoneticPr fontId="10" type="noConversion"/>
  <hyperlinks>
    <hyperlink ref="I1" location="Úvod!A31" display="Skok na obsah" xr:uid="{15236657-A953-4D33-B41B-C3A5EC5EC8B5}"/>
  </hyperlinks>
  <printOptions gridLinesSet="0"/>
  <pageMargins left="0.78740157480314965" right="0.78740157480314965" top="0.98425196850393704" bottom="0.78740157480314965" header="0.51181102362204722" footer="0.51181102362204722"/>
  <pageSetup paperSize="9" scale="79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2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7" width="9.375" customWidth="1"/>
  </cols>
  <sheetData>
    <row r="1" spans="1:9" ht="18.75" x14ac:dyDescent="0.3">
      <c r="A1" s="53" t="s">
        <v>87</v>
      </c>
      <c r="B1" s="54" t="s">
        <v>71</v>
      </c>
      <c r="I1" s="172" t="s">
        <v>164</v>
      </c>
    </row>
    <row r="2" spans="1:9" ht="18.75" x14ac:dyDescent="0.3">
      <c r="A2" s="53" t="s">
        <v>86</v>
      </c>
      <c r="B2" s="54" t="s">
        <v>85</v>
      </c>
    </row>
    <row r="3" spans="1:9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F3" s="120"/>
    </row>
    <row r="4" spans="1:9" x14ac:dyDescent="0.25">
      <c r="A4" s="57" t="s">
        <v>83</v>
      </c>
    </row>
    <row r="5" spans="1:9" x14ac:dyDescent="0.25">
      <c r="A5" s="17" t="s">
        <v>38</v>
      </c>
      <c r="B5" s="91">
        <f>'3 -MM, růst, iterace'!B5</f>
        <v>170</v>
      </c>
      <c r="C5" s="24">
        <f>'3 -MM, růst, iterace'!C5</f>
        <v>180</v>
      </c>
      <c r="D5" s="24">
        <f>'3 -MM, růst, iterace'!D5</f>
        <v>190</v>
      </c>
      <c r="E5" s="24">
        <f>'3 -MM, růst, iterace'!E5</f>
        <v>210</v>
      </c>
      <c r="F5" s="39"/>
      <c r="G5" s="1" t="s">
        <v>37</v>
      </c>
      <c r="H5" s="87"/>
    </row>
    <row r="6" spans="1:9" ht="18.75" x14ac:dyDescent="0.35">
      <c r="A6" s="13" t="s">
        <v>39</v>
      </c>
      <c r="B6" s="34">
        <f>'3 -MM, růst, iterace'!B6</f>
        <v>180</v>
      </c>
      <c r="C6" s="14">
        <f>'3 -MM, růst, iterace'!C6</f>
        <v>190</v>
      </c>
      <c r="D6" s="14">
        <f>'3 -MM, růst, iterace'!D6</f>
        <v>200</v>
      </c>
      <c r="E6" s="14">
        <f>'3 -MM, růst, iterace'!E6</f>
        <v>200</v>
      </c>
      <c r="F6" s="39"/>
      <c r="G6" s="17" t="s">
        <v>35</v>
      </c>
      <c r="H6" s="94">
        <f>'3 -MM, růst, iterace'!H6</f>
        <v>0.15</v>
      </c>
    </row>
    <row r="7" spans="1:9" x14ac:dyDescent="0.25">
      <c r="A7" s="30" t="s">
        <v>40</v>
      </c>
      <c r="B7" s="31">
        <f>B5+B6</f>
        <v>350</v>
      </c>
      <c r="C7" s="31">
        <f>C5+C6</f>
        <v>370</v>
      </c>
      <c r="D7" s="31">
        <f>D5+D6</f>
        <v>390</v>
      </c>
      <c r="E7" s="31">
        <f>E5+E6</f>
        <v>410</v>
      </c>
      <c r="F7" s="39"/>
      <c r="G7" s="13" t="s">
        <v>8</v>
      </c>
      <c r="H7" s="119">
        <f>'3 -MM, růst, iterace'!H7</f>
        <v>0.03</v>
      </c>
    </row>
    <row r="8" spans="1:9" ht="18.75" x14ac:dyDescent="0.35">
      <c r="A8" s="12" t="s">
        <v>42</v>
      </c>
      <c r="B8" s="27">
        <f>'3 -MM, růst, iterace'!B8</f>
        <v>0.03</v>
      </c>
      <c r="C8" s="27">
        <f>'3 -MM, růst, iterace'!C8</f>
        <v>0.05</v>
      </c>
      <c r="D8" s="27">
        <f>'3 -MM, růst, iterace'!D8</f>
        <v>0.06</v>
      </c>
      <c r="E8" s="68">
        <f>'3 -MM, růst, iterace'!E8</f>
        <v>7.0000000000000007E-2</v>
      </c>
      <c r="F8" s="121"/>
    </row>
    <row r="9" spans="1:9" x14ac:dyDescent="0.25">
      <c r="A9" s="13" t="s">
        <v>57</v>
      </c>
      <c r="B9" s="28">
        <f>'3 -MM, růst, iterace'!B9</f>
        <v>0.2</v>
      </c>
      <c r="C9" s="28">
        <f>'3 -MM, růst, iterace'!C9</f>
        <v>0.19</v>
      </c>
      <c r="D9" s="28">
        <f>'3 -MM, růst, iterace'!D9</f>
        <v>0.19</v>
      </c>
      <c r="E9" s="69">
        <f>'3 -MM, růst, iterace'!E9</f>
        <v>0.18</v>
      </c>
      <c r="F9" s="121"/>
    </row>
    <row r="10" spans="1:9" x14ac:dyDescent="0.25">
      <c r="A10" s="9" t="s">
        <v>15</v>
      </c>
      <c r="B10" s="90">
        <f>'3 -MM, růst, iterace'!B10</f>
        <v>60</v>
      </c>
      <c r="C10" s="33">
        <f>'3 -MM, růst, iterace'!C10</f>
        <v>66</v>
      </c>
      <c r="D10" s="33">
        <f>'3 -MM, růst, iterace'!D10</f>
        <v>72.600000000000009</v>
      </c>
      <c r="E10" s="33">
        <f>'3 -MM, růst, iterace'!E10</f>
        <v>74.778000000000006</v>
      </c>
      <c r="F10" s="39"/>
    </row>
    <row r="12" spans="1:9" x14ac:dyDescent="0.25">
      <c r="A12" s="57" t="s">
        <v>61</v>
      </c>
    </row>
    <row r="13" spans="1:9" x14ac:dyDescent="0.25">
      <c r="A13" s="17" t="s">
        <v>16</v>
      </c>
      <c r="B13" s="24">
        <f>B10*(1-B9)</f>
        <v>48</v>
      </c>
      <c r="C13" s="24">
        <f>C10*(1-C9)</f>
        <v>53.46</v>
      </c>
      <c r="D13" s="24">
        <f>D10*(1-D9)</f>
        <v>58.806000000000012</v>
      </c>
      <c r="E13" s="24">
        <f>E10*(1-E9)</f>
        <v>61.317960000000006</v>
      </c>
      <c r="F13" s="39"/>
    </row>
    <row r="14" spans="1:9" x14ac:dyDescent="0.25">
      <c r="A14" s="13" t="s">
        <v>41</v>
      </c>
      <c r="B14" s="14">
        <f>-(C7-B7)</f>
        <v>-20</v>
      </c>
      <c r="C14" s="14">
        <f>-(D7-C7)</f>
        <v>-20</v>
      </c>
      <c r="D14" s="14">
        <f>-(E7-D7)</f>
        <v>-20</v>
      </c>
      <c r="E14" s="14">
        <f>-E7*H7</f>
        <v>-12.299999999999999</v>
      </c>
      <c r="F14" s="39"/>
    </row>
    <row r="15" spans="1:9" x14ac:dyDescent="0.25">
      <c r="A15" s="30" t="s">
        <v>14</v>
      </c>
      <c r="B15" s="31">
        <f>B13+B14</f>
        <v>28</v>
      </c>
      <c r="C15" s="31">
        <f>C13+C14</f>
        <v>33.46</v>
      </c>
      <c r="D15" s="31">
        <f>D13+D14</f>
        <v>38.806000000000012</v>
      </c>
      <c r="E15" s="31">
        <f>E13+E14</f>
        <v>49.017960000000009</v>
      </c>
      <c r="F15" s="39"/>
    </row>
    <row r="16" spans="1:9" ht="18.75" x14ac:dyDescent="0.35">
      <c r="A16" s="82" t="s">
        <v>48</v>
      </c>
      <c r="B16" s="21">
        <f>-B8*B5*(1-B9)</f>
        <v>-4.08</v>
      </c>
      <c r="C16" s="21">
        <f>-C8*C5*(1-C9)</f>
        <v>-7.2900000000000009</v>
      </c>
      <c r="D16" s="21">
        <f>-D8*D5*(1-D9)</f>
        <v>-9.2340000000000018</v>
      </c>
      <c r="E16" s="21">
        <f>-E8*E5*(1-E9)</f>
        <v>-12.054000000000002</v>
      </c>
      <c r="F16" s="39"/>
    </row>
    <row r="17" spans="1:6" x14ac:dyDescent="0.25">
      <c r="A17" s="25" t="s">
        <v>11</v>
      </c>
      <c r="B17" s="21">
        <f>C5-B5</f>
        <v>10</v>
      </c>
      <c r="C17" s="21">
        <f>D5-C5</f>
        <v>10</v>
      </c>
      <c r="D17" s="21">
        <f>E5-D5</f>
        <v>20</v>
      </c>
      <c r="E17" s="21">
        <f>E5*H7</f>
        <v>6.3</v>
      </c>
      <c r="F17" s="39"/>
    </row>
    <row r="18" spans="1:6" x14ac:dyDescent="0.25">
      <c r="A18" s="9" t="s">
        <v>6</v>
      </c>
      <c r="B18" s="99">
        <f>SUM(B15:B17)</f>
        <v>33.92</v>
      </c>
      <c r="C18" s="90">
        <f t="shared" ref="C18:E18" si="0">SUM(C15:C17)</f>
        <v>36.17</v>
      </c>
      <c r="D18" s="90">
        <f t="shared" si="0"/>
        <v>49.57200000000001</v>
      </c>
      <c r="E18" s="33">
        <f t="shared" si="0"/>
        <v>43.263960000000004</v>
      </c>
      <c r="F18" s="39"/>
    </row>
    <row r="20" spans="1:6" ht="17.25" x14ac:dyDescent="0.3">
      <c r="A20" s="57" t="s">
        <v>84</v>
      </c>
    </row>
    <row r="21" spans="1:6" x14ac:dyDescent="0.25">
      <c r="A21" s="22" t="s">
        <v>38</v>
      </c>
      <c r="B21" s="128">
        <f>B5</f>
        <v>170</v>
      </c>
      <c r="C21" s="23">
        <f t="shared" ref="C21:E21" si="1">C5</f>
        <v>180</v>
      </c>
      <c r="D21" s="23">
        <f t="shared" si="1"/>
        <v>190</v>
      </c>
      <c r="E21" s="89">
        <f t="shared" si="1"/>
        <v>210</v>
      </c>
    </row>
    <row r="22" spans="1:6" ht="18.75" x14ac:dyDescent="0.35">
      <c r="A22" s="12" t="s">
        <v>42</v>
      </c>
      <c r="B22" s="27">
        <f>B8</f>
        <v>0.03</v>
      </c>
      <c r="C22" s="27">
        <f t="shared" ref="C22:E22" si="2">C8</f>
        <v>0.05</v>
      </c>
      <c r="D22" s="27">
        <f t="shared" si="2"/>
        <v>0.06</v>
      </c>
      <c r="E22" s="27">
        <f t="shared" si="2"/>
        <v>7.0000000000000007E-2</v>
      </c>
    </row>
    <row r="23" spans="1:6" x14ac:dyDescent="0.25">
      <c r="A23" s="129" t="s">
        <v>79</v>
      </c>
      <c r="B23" s="133">
        <f>B22</f>
        <v>0.03</v>
      </c>
      <c r="C23" s="133">
        <f t="shared" ref="C23:E23" si="3">C22</f>
        <v>0.05</v>
      </c>
      <c r="D23" s="133">
        <f t="shared" si="3"/>
        <v>0.06</v>
      </c>
      <c r="E23" s="133">
        <f t="shared" si="3"/>
        <v>7.0000000000000007E-2</v>
      </c>
      <c r="F23" s="56">
        <f>D3+2</f>
        <v>2027</v>
      </c>
    </row>
    <row r="24" spans="1:6" x14ac:dyDescent="0.25">
      <c r="A24" s="22" t="s">
        <v>74</v>
      </c>
      <c r="B24" s="23">
        <f>B21*B22*B9</f>
        <v>1.02</v>
      </c>
      <c r="C24" s="23">
        <f t="shared" ref="C24:E24" si="4">C21*C22*C9</f>
        <v>1.71</v>
      </c>
      <c r="D24" s="23">
        <f t="shared" si="4"/>
        <v>2.1659999999999999</v>
      </c>
      <c r="E24" s="23">
        <f t="shared" si="4"/>
        <v>2.6459999999999999</v>
      </c>
      <c r="F24" s="23">
        <f>E24*(1+H7)</f>
        <v>2.7253799999999999</v>
      </c>
    </row>
    <row r="25" spans="1:6" x14ac:dyDescent="0.25">
      <c r="A25" s="9" t="s">
        <v>12</v>
      </c>
      <c r="B25" s="90">
        <f>(C25+B24)/(1+B8)</f>
        <v>25.133207835763677</v>
      </c>
      <c r="C25" s="90">
        <f>(D25+C24)/(1+C8)</f>
        <v>24.867204070836589</v>
      </c>
      <c r="D25" s="90">
        <f>(E25+D24)/(1+D8)</f>
        <v>24.400564274378418</v>
      </c>
      <c r="E25" s="135">
        <f>(F25+E24)/(1+E8)</f>
        <v>23.698598130841123</v>
      </c>
      <c r="F25" s="135">
        <f>F24/(H6-H7)</f>
        <v>22.711500000000001</v>
      </c>
    </row>
    <row r="26" spans="1:6" x14ac:dyDescent="0.25">
      <c r="E26" s="2"/>
      <c r="F26" s="2"/>
    </row>
    <row r="27" spans="1:6" x14ac:dyDescent="0.25">
      <c r="A27" s="57" t="s">
        <v>59</v>
      </c>
      <c r="B27" s="6"/>
      <c r="C27" s="6"/>
      <c r="D27" s="6"/>
    </row>
    <row r="28" spans="1:6" x14ac:dyDescent="0.25">
      <c r="A28" s="71" t="s">
        <v>58</v>
      </c>
      <c r="B28" s="100">
        <f ca="1">B38</f>
        <v>0.46085275544710336</v>
      </c>
      <c r="C28" s="19">
        <f ca="1">C38</f>
        <v>0.45897572813896337</v>
      </c>
      <c r="D28" s="19">
        <f ca="1">D38</f>
        <v>0.45966164169572182</v>
      </c>
      <c r="E28" s="19">
        <f ca="1">E38</f>
        <v>0.48590685237001535</v>
      </c>
      <c r="F28" s="123"/>
    </row>
    <row r="29" spans="1:6" x14ac:dyDescent="0.25">
      <c r="A29" s="73" t="s">
        <v>10</v>
      </c>
      <c r="B29" s="101">
        <f ca="1">(1-B28)</f>
        <v>0.53914724455289664</v>
      </c>
      <c r="C29" s="20">
        <f ca="1">(1-C28)</f>
        <v>0.54102427186103663</v>
      </c>
      <c r="D29" s="20">
        <f ca="1">(1-D28)</f>
        <v>0.54033835830427823</v>
      </c>
      <c r="E29" s="20">
        <f ca="1">(1-E28)</f>
        <v>0.51409314762998459</v>
      </c>
      <c r="F29" s="123"/>
    </row>
    <row r="30" spans="1:6" x14ac:dyDescent="0.25">
      <c r="A30" s="73" t="s">
        <v>13</v>
      </c>
      <c r="B30" s="102">
        <f ca="1">B28/B29</f>
        <v>0.8547808786990625</v>
      </c>
      <c r="C30" s="18">
        <f ca="1">C28/C29</f>
        <v>0.84834590980578484</v>
      </c>
      <c r="D30" s="18">
        <f ca="1">D28/D29</f>
        <v>0.85069222762244601</v>
      </c>
      <c r="E30" s="18">
        <f ca="1">E28/E29</f>
        <v>0.94517278553524675</v>
      </c>
      <c r="F30" s="123"/>
    </row>
    <row r="31" spans="1:6" ht="18.75" x14ac:dyDescent="0.35">
      <c r="A31" s="71" t="s">
        <v>60</v>
      </c>
      <c r="B31" s="72">
        <f>B8*(1-B9)</f>
        <v>2.4E-2</v>
      </c>
      <c r="C31" s="72">
        <f t="shared" ref="C31:E31" si="5">C8*(1-C9)</f>
        <v>4.0500000000000008E-2</v>
      </c>
      <c r="D31" s="72">
        <f t="shared" si="5"/>
        <v>4.8600000000000004E-2</v>
      </c>
      <c r="E31" s="72">
        <f t="shared" si="5"/>
        <v>5.7400000000000007E-2</v>
      </c>
      <c r="F31" s="123"/>
    </row>
    <row r="32" spans="1:6" ht="17.25" x14ac:dyDescent="0.3">
      <c r="A32" s="97" t="s">
        <v>62</v>
      </c>
      <c r="B32" s="134">
        <f ca="1">$H$6+($H$6-B8)*(B5-B25)/B37</f>
        <v>0.23740896275326617</v>
      </c>
      <c r="C32" s="98">
        <f ca="1">$H$6+($H$6-C8)*(C5-C25)/C37</f>
        <v>0.22311459605735626</v>
      </c>
      <c r="D32" s="98">
        <f ca="1">$H$6+($H$6-D8)*(D5-D25)/D37</f>
        <v>0.21672986188600218</v>
      </c>
      <c r="E32" s="131">
        <f ca="1">$H$6+($H$6-E8)*E30*(1-E9*E8/(1+E8))</f>
        <v>0.22472341707850241</v>
      </c>
      <c r="F32" s="122"/>
    </row>
    <row r="33" spans="1:6" x14ac:dyDescent="0.25">
      <c r="A33" s="77" t="s">
        <v>63</v>
      </c>
      <c r="B33" s="104">
        <f ca="1">B31*B28+B32*B29</f>
        <v>0.1390588542313152</v>
      </c>
      <c r="C33" s="104">
        <f t="shared" ref="C33:E33" ca="1" si="6">C31*C28+C32*C29</f>
        <v>0.1392989288631285</v>
      </c>
      <c r="D33" s="104">
        <f t="shared" ca="1" si="6"/>
        <v>0.13944701355340747</v>
      </c>
      <c r="E33" s="104">
        <f t="shared" ca="1" si="6"/>
        <v>0.14341982215809201</v>
      </c>
      <c r="F33" s="123"/>
    </row>
    <row r="34" spans="1:6" x14ac:dyDescent="0.25">
      <c r="A34" s="17" t="s">
        <v>14</v>
      </c>
      <c r="B34" s="24">
        <f>B15</f>
        <v>28</v>
      </c>
      <c r="C34" s="24">
        <f t="shared" ref="C34:E34" si="7">C15</f>
        <v>33.46</v>
      </c>
      <c r="D34" s="24">
        <f t="shared" si="7"/>
        <v>38.806000000000012</v>
      </c>
      <c r="E34" s="24">
        <f t="shared" si="7"/>
        <v>49.017960000000009</v>
      </c>
      <c r="F34" s="44"/>
    </row>
    <row r="35" spans="1:6" x14ac:dyDescent="0.25">
      <c r="A35" s="15" t="s">
        <v>5</v>
      </c>
      <c r="B35" s="16">
        <f ca="1">(C35+B34)/(1+B33)</f>
        <v>368.88137911874236</v>
      </c>
      <c r="C35" s="16">
        <f ca="1">(D35+C34)/(1+C33)</f>
        <v>392.17760104626205</v>
      </c>
      <c r="D35" s="16">
        <f ca="1">(E35+D34)/(1+D33)</f>
        <v>413.34752079611775</v>
      </c>
      <c r="E35" s="16">
        <f ca="1">E34/(E33-H7)</f>
        <v>432.18159813084128</v>
      </c>
      <c r="F35" s="6"/>
    </row>
    <row r="36" spans="1:6" x14ac:dyDescent="0.25">
      <c r="A36" s="17" t="s">
        <v>38</v>
      </c>
      <c r="B36" s="108">
        <f>B5</f>
        <v>170</v>
      </c>
      <c r="C36" s="108">
        <f>C5</f>
        <v>180</v>
      </c>
      <c r="D36" s="108">
        <f>D5</f>
        <v>190</v>
      </c>
      <c r="E36" s="108">
        <f>E5</f>
        <v>210</v>
      </c>
      <c r="F36" s="44"/>
    </row>
    <row r="37" spans="1:6" x14ac:dyDescent="0.25">
      <c r="A37" s="80" t="s">
        <v>49</v>
      </c>
      <c r="B37" s="81">
        <f ca="1">B35-B36</f>
        <v>198.88137911874236</v>
      </c>
      <c r="C37" s="37">
        <f t="shared" ref="C37:E37" ca="1" si="8">C35-C36</f>
        <v>212.17760104626205</v>
      </c>
      <c r="D37" s="37">
        <f t="shared" ca="1" si="8"/>
        <v>223.34752079611775</v>
      </c>
      <c r="E37" s="81">
        <f t="shared" ca="1" si="8"/>
        <v>222.18159813084128</v>
      </c>
      <c r="F37" s="43"/>
    </row>
    <row r="38" spans="1:6" ht="18.75" x14ac:dyDescent="0.35">
      <c r="A38" s="13" t="s">
        <v>46</v>
      </c>
      <c r="B38" s="32">
        <f ca="1">B36/B35</f>
        <v>0.46085275544710336</v>
      </c>
      <c r="C38" s="32">
        <f t="shared" ref="C38:E38" ca="1" si="9">C36/C35</f>
        <v>0.45897572813896337</v>
      </c>
      <c r="D38" s="32">
        <f t="shared" ca="1" si="9"/>
        <v>0.45966164169572182</v>
      </c>
      <c r="E38" s="32">
        <f t="shared" ca="1" si="9"/>
        <v>0.48590685237001535</v>
      </c>
      <c r="F38" s="123"/>
    </row>
    <row r="40" spans="1:6" x14ac:dyDescent="0.25">
      <c r="A40" s="57" t="s">
        <v>67</v>
      </c>
      <c r="F40" s="44"/>
    </row>
    <row r="41" spans="1:6" x14ac:dyDescent="0.25">
      <c r="A41" s="17" t="s">
        <v>6</v>
      </c>
      <c r="B41" s="24">
        <f>B18</f>
        <v>33.92</v>
      </c>
      <c r="C41" s="24">
        <f t="shared" ref="C41:E41" si="10">C18</f>
        <v>36.17</v>
      </c>
      <c r="D41" s="24">
        <f t="shared" si="10"/>
        <v>49.57200000000001</v>
      </c>
      <c r="E41" s="24">
        <f t="shared" si="10"/>
        <v>43.263960000000004</v>
      </c>
      <c r="F41" s="38"/>
    </row>
    <row r="42" spans="1:6" ht="17.25" x14ac:dyDescent="0.3">
      <c r="A42" s="97" t="s">
        <v>62</v>
      </c>
      <c r="B42" s="103">
        <f ca="1">B32</f>
        <v>0.23740896275326617</v>
      </c>
      <c r="C42" s="103">
        <f ca="1">C32</f>
        <v>0.22311459605735626</v>
      </c>
      <c r="D42" s="103">
        <f ca="1">D32</f>
        <v>0.21672986188600218</v>
      </c>
      <c r="E42" s="103">
        <f ca="1">E32</f>
        <v>0.22472341707850241</v>
      </c>
      <c r="F42" s="124"/>
    </row>
    <row r="43" spans="1:6" x14ac:dyDescent="0.25">
      <c r="A43" s="83" t="s">
        <v>49</v>
      </c>
      <c r="B43" s="106">
        <f ca="1">(C43+B41)/(1+B42)</f>
        <v>198.8813791187423</v>
      </c>
      <c r="C43" s="107">
        <f ca="1">(D43+C41)/(1+C42)</f>
        <v>212.17760104626203</v>
      </c>
      <c r="D43" s="107">
        <f ca="1">(E43+D41)/(1+D42)</f>
        <v>223.34752079611766</v>
      </c>
      <c r="E43" s="111">
        <f ca="1">E41/(E42-H7)</f>
        <v>222.18159813084122</v>
      </c>
      <c r="F43" s="125"/>
    </row>
    <row r="44" spans="1:6" x14ac:dyDescent="0.25">
      <c r="A44" s="7"/>
    </row>
    <row r="45" spans="1:6" x14ac:dyDescent="0.25">
      <c r="A45" s="57" t="s">
        <v>64</v>
      </c>
      <c r="B45" s="3"/>
      <c r="C45" s="3"/>
      <c r="D45" s="3"/>
    </row>
    <row r="46" spans="1:6" ht="17.25" x14ac:dyDescent="0.3">
      <c r="A46" s="75" t="s">
        <v>53</v>
      </c>
      <c r="B46" s="76">
        <f>$H$6</f>
        <v>0.15</v>
      </c>
      <c r="C46" s="76">
        <f>$H$6</f>
        <v>0.15</v>
      </c>
      <c r="D46" s="76">
        <f>$H$6</f>
        <v>0.15</v>
      </c>
      <c r="E46" s="76">
        <f>$H$6</f>
        <v>0.15</v>
      </c>
      <c r="F46" s="126"/>
    </row>
    <row r="47" spans="1:6" x14ac:dyDescent="0.25">
      <c r="A47" s="12" t="s">
        <v>14</v>
      </c>
      <c r="B47" s="21">
        <f>B15</f>
        <v>28</v>
      </c>
      <c r="C47" s="21">
        <f t="shared" ref="C47:E47" si="11">C15</f>
        <v>33.46</v>
      </c>
      <c r="D47" s="21">
        <f t="shared" si="11"/>
        <v>38.806000000000012</v>
      </c>
      <c r="E47" s="21">
        <f t="shared" si="11"/>
        <v>49.017960000000009</v>
      </c>
      <c r="F47" s="44"/>
    </row>
    <row r="48" spans="1:6" x14ac:dyDescent="0.25">
      <c r="A48" s="86" t="s">
        <v>51</v>
      </c>
      <c r="B48" s="34">
        <f>(C48+B47)/(1+B46)</f>
        <v>343.74817128297866</v>
      </c>
      <c r="C48" s="14">
        <f>(D48+C47)/(1+C46)</f>
        <v>367.31039697542542</v>
      </c>
      <c r="D48" s="14">
        <f>(E48+D47)/(1+D46)</f>
        <v>388.94695652173925</v>
      </c>
      <c r="E48" s="14">
        <f>E47/(E46-$H$7)</f>
        <v>408.48300000000012</v>
      </c>
      <c r="F48" s="44"/>
    </row>
    <row r="49" spans="1:6" x14ac:dyDescent="0.25">
      <c r="A49" s="13" t="s">
        <v>137</v>
      </c>
      <c r="B49" s="34">
        <f>B25</f>
        <v>25.133207835763677</v>
      </c>
      <c r="C49" s="34">
        <f t="shared" ref="C49:E49" si="12">C25</f>
        <v>24.867204070836589</v>
      </c>
      <c r="D49" s="34">
        <f t="shared" si="12"/>
        <v>24.400564274378418</v>
      </c>
      <c r="E49" s="34">
        <f t="shared" si="12"/>
        <v>23.698598130841123</v>
      </c>
      <c r="F49" s="44"/>
    </row>
    <row r="50" spans="1:6" x14ac:dyDescent="0.25">
      <c r="A50" s="35" t="s">
        <v>9</v>
      </c>
      <c r="B50" s="36">
        <f>B48+B49</f>
        <v>368.88137911874236</v>
      </c>
      <c r="C50" s="36">
        <f>C48+C49</f>
        <v>392.177601046262</v>
      </c>
      <c r="D50" s="36">
        <f>D48+D49</f>
        <v>413.34752079611769</v>
      </c>
      <c r="E50" s="36">
        <f>E48+E49</f>
        <v>432.18159813084122</v>
      </c>
      <c r="F50" s="6"/>
    </row>
    <row r="51" spans="1:6" x14ac:dyDescent="0.25">
      <c r="A51" s="40" t="s">
        <v>2</v>
      </c>
      <c r="B51" s="41">
        <f>B5</f>
        <v>170</v>
      </c>
      <c r="C51" s="41">
        <f>C5</f>
        <v>180</v>
      </c>
      <c r="D51" s="41">
        <f>D5</f>
        <v>190</v>
      </c>
      <c r="E51" s="41">
        <f>E5</f>
        <v>210</v>
      </c>
      <c r="F51" s="6"/>
    </row>
    <row r="52" spans="1:6" x14ac:dyDescent="0.25">
      <c r="A52" s="83" t="s">
        <v>49</v>
      </c>
      <c r="B52" s="105">
        <f>B50-B51</f>
        <v>198.88137911874236</v>
      </c>
      <c r="C52" s="85">
        <f t="shared" ref="C52:E52" si="13">C50-C51</f>
        <v>212.177601046262</v>
      </c>
      <c r="D52" s="85">
        <f t="shared" si="13"/>
        <v>223.34752079611769</v>
      </c>
      <c r="E52" s="84">
        <f t="shared" si="13"/>
        <v>222.18159813084122</v>
      </c>
      <c r="F52" s="43"/>
    </row>
    <row r="53" spans="1:6" x14ac:dyDescent="0.25">
      <c r="B53" s="8"/>
      <c r="C53" s="1"/>
      <c r="D53" s="1"/>
      <c r="E53" s="8"/>
      <c r="F53" s="8"/>
    </row>
    <row r="57" spans="1:6" x14ac:dyDescent="0.25">
      <c r="A57" s="7"/>
    </row>
    <row r="58" spans="1:6" x14ac:dyDescent="0.25">
      <c r="A58" s="7"/>
    </row>
    <row r="59" spans="1:6" x14ac:dyDescent="0.25">
      <c r="A59" s="7"/>
    </row>
    <row r="60" spans="1:6" x14ac:dyDescent="0.25">
      <c r="A60" s="7"/>
    </row>
    <row r="61" spans="1:6" x14ac:dyDescent="0.25">
      <c r="A61" s="7"/>
    </row>
    <row r="62" spans="1:6" x14ac:dyDescent="0.25">
      <c r="A62" s="7"/>
    </row>
    <row r="63" spans="1:6" x14ac:dyDescent="0.25">
      <c r="A63" s="7"/>
    </row>
    <row r="64" spans="1:6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phoneticPr fontId="10" type="noConversion"/>
  <hyperlinks>
    <hyperlink ref="I1" location="Úvod!A31" display="Skok na obsah" xr:uid="{F8F5933E-D7DC-45FE-A4BD-1AFD2ADC9DAA}"/>
  </hyperlinks>
  <printOptions gridLinesSet="0"/>
  <pageMargins left="0.78740157480314965" right="0.78740157480314965" top="0.98425196850393704" bottom="0.78740157480314965" header="0.51181102362204722" footer="0.51181102362204722"/>
  <pageSetup paperSize="9" scale="75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72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2.625" customWidth="1"/>
    <col min="2" max="5" width="9.375" customWidth="1"/>
    <col min="6" max="6" width="2.625" customWidth="1"/>
    <col min="7" max="7" width="10.625" customWidth="1"/>
  </cols>
  <sheetData>
    <row r="1" spans="1:9" ht="18.75" x14ac:dyDescent="0.3">
      <c r="A1" s="53" t="s">
        <v>89</v>
      </c>
      <c r="B1" s="54" t="s">
        <v>71</v>
      </c>
      <c r="I1" s="172" t="s">
        <v>164</v>
      </c>
    </row>
    <row r="2" spans="1:9" x14ac:dyDescent="0.25">
      <c r="B2" s="54" t="s">
        <v>90</v>
      </c>
    </row>
    <row r="3" spans="1:9" x14ac:dyDescent="0.25">
      <c r="A3" s="55" t="s">
        <v>0</v>
      </c>
      <c r="B3" s="56">
        <f>'1-MM, cílová struktura'!$B$3</f>
        <v>2023</v>
      </c>
      <c r="C3" s="56">
        <f>B3+1</f>
        <v>2024</v>
      </c>
      <c r="D3" s="56">
        <f>C3+1</f>
        <v>2025</v>
      </c>
      <c r="E3" s="56" t="s">
        <v>1</v>
      </c>
      <c r="F3" s="120"/>
    </row>
    <row r="4" spans="1:9" ht="17.25" x14ac:dyDescent="0.3">
      <c r="A4" s="57" t="s">
        <v>91</v>
      </c>
    </row>
    <row r="5" spans="1:9" x14ac:dyDescent="0.25">
      <c r="A5" s="17" t="s">
        <v>38</v>
      </c>
      <c r="B5" s="91">
        <f>'3 -MM, růst, iterace'!B5</f>
        <v>170</v>
      </c>
      <c r="C5" s="24">
        <f>'3 -MM, růst, iterace'!C5</f>
        <v>180</v>
      </c>
      <c r="D5" s="24">
        <f>'3 -MM, růst, iterace'!D5</f>
        <v>190</v>
      </c>
      <c r="E5" s="24">
        <f>'3 -MM, růst, iterace'!E5</f>
        <v>210</v>
      </c>
      <c r="F5" s="39"/>
      <c r="G5" s="1" t="s">
        <v>37</v>
      </c>
      <c r="H5" s="87"/>
    </row>
    <row r="6" spans="1:9" ht="18.75" x14ac:dyDescent="0.35">
      <c r="A6" s="13" t="s">
        <v>39</v>
      </c>
      <c r="B6" s="34">
        <f>'3 -MM, růst, iterace'!B6</f>
        <v>180</v>
      </c>
      <c r="C6" s="14">
        <f>'3 -MM, růst, iterace'!C6</f>
        <v>190</v>
      </c>
      <c r="D6" s="14">
        <f>'3 -MM, růst, iterace'!D6</f>
        <v>200</v>
      </c>
      <c r="E6" s="14">
        <f>'3 -MM, růst, iterace'!E6</f>
        <v>200</v>
      </c>
      <c r="F6" s="39"/>
      <c r="G6" s="17" t="s">
        <v>35</v>
      </c>
      <c r="H6" s="94">
        <f>'3 -MM, růst, iterace'!H6</f>
        <v>0.15</v>
      </c>
    </row>
    <row r="7" spans="1:9" x14ac:dyDescent="0.25">
      <c r="A7" s="30" t="s">
        <v>40</v>
      </c>
      <c r="B7" s="31">
        <f>B5+B6</f>
        <v>350</v>
      </c>
      <c r="C7" s="31">
        <f>C5+C6</f>
        <v>370</v>
      </c>
      <c r="D7" s="31">
        <f>D5+D6</f>
        <v>390</v>
      </c>
      <c r="E7" s="31">
        <f>E5+E6</f>
        <v>410</v>
      </c>
      <c r="F7" s="39"/>
      <c r="G7" s="13" t="s">
        <v>8</v>
      </c>
      <c r="H7" s="119">
        <f>'3 -MM, růst, iterace'!H7</f>
        <v>0.03</v>
      </c>
    </row>
    <row r="8" spans="1:9" ht="18.75" x14ac:dyDescent="0.35">
      <c r="A8" s="12" t="s">
        <v>42</v>
      </c>
      <c r="B8" s="27">
        <f>'3 -MM, růst, iterace'!B8</f>
        <v>0.03</v>
      </c>
      <c r="C8" s="27">
        <f>'3 -MM, růst, iterace'!C8</f>
        <v>0.05</v>
      </c>
      <c r="D8" s="27">
        <f>'3 -MM, růst, iterace'!D8</f>
        <v>0.06</v>
      </c>
      <c r="E8" s="68">
        <f>'3 -MM, růst, iterace'!E8</f>
        <v>7.0000000000000007E-2</v>
      </c>
      <c r="F8" s="121"/>
    </row>
    <row r="9" spans="1:9" x14ac:dyDescent="0.25">
      <c r="A9" s="13" t="s">
        <v>57</v>
      </c>
      <c r="B9" s="28">
        <f>'3 -MM, růst, iterace'!B9</f>
        <v>0.2</v>
      </c>
      <c r="C9" s="28">
        <f>'3 -MM, růst, iterace'!C9</f>
        <v>0.19</v>
      </c>
      <c r="D9" s="28">
        <f>'3 -MM, růst, iterace'!D9</f>
        <v>0.19</v>
      </c>
      <c r="E9" s="69">
        <f>'3 -MM, růst, iterace'!E9</f>
        <v>0.18</v>
      </c>
      <c r="F9" s="121"/>
    </row>
    <row r="10" spans="1:9" x14ac:dyDescent="0.25">
      <c r="A10" s="9" t="s">
        <v>15</v>
      </c>
      <c r="B10" s="90">
        <f>'3 -MM, růst, iterace'!B10</f>
        <v>60</v>
      </c>
      <c r="C10" s="33">
        <f>'3 -MM, růst, iterace'!C10</f>
        <v>66</v>
      </c>
      <c r="D10" s="33">
        <f>'3 -MM, růst, iterace'!D10</f>
        <v>72.600000000000009</v>
      </c>
      <c r="E10" s="33">
        <f>'3 -MM, růst, iterace'!E10</f>
        <v>74.778000000000006</v>
      </c>
      <c r="F10" s="39"/>
    </row>
    <row r="12" spans="1:9" x14ac:dyDescent="0.25">
      <c r="A12" s="57" t="s">
        <v>61</v>
      </c>
    </row>
    <row r="13" spans="1:9" x14ac:dyDescent="0.25">
      <c r="A13" s="17" t="s">
        <v>16</v>
      </c>
      <c r="B13" s="24">
        <f>B10*(1-B9)</f>
        <v>48</v>
      </c>
      <c r="C13" s="24">
        <f>C10*(1-C9)</f>
        <v>53.46</v>
      </c>
      <c r="D13" s="24">
        <f>D10*(1-D9)</f>
        <v>58.806000000000012</v>
      </c>
      <c r="E13" s="24">
        <f>E10*(1-E9)</f>
        <v>61.317960000000006</v>
      </c>
      <c r="F13" s="39"/>
    </row>
    <row r="14" spans="1:9" x14ac:dyDescent="0.25">
      <c r="A14" s="13" t="s">
        <v>41</v>
      </c>
      <c r="B14" s="14">
        <f>-(C7-B7)</f>
        <v>-20</v>
      </c>
      <c r="C14" s="14">
        <f>-(D7-C7)</f>
        <v>-20</v>
      </c>
      <c r="D14" s="14">
        <f>-(E7-D7)</f>
        <v>-20</v>
      </c>
      <c r="E14" s="14">
        <f>-E7*H7</f>
        <v>-12.299999999999999</v>
      </c>
      <c r="F14" s="39"/>
    </row>
    <row r="15" spans="1:9" x14ac:dyDescent="0.25">
      <c r="A15" s="30" t="s">
        <v>14</v>
      </c>
      <c r="B15" s="31">
        <f>B13+B14</f>
        <v>28</v>
      </c>
      <c r="C15" s="31">
        <f>C13+C14</f>
        <v>33.46</v>
      </c>
      <c r="D15" s="31">
        <f>D13+D14</f>
        <v>38.806000000000012</v>
      </c>
      <c r="E15" s="31">
        <f>E13+E14</f>
        <v>49.017960000000009</v>
      </c>
      <c r="F15" s="39"/>
    </row>
    <row r="16" spans="1:9" ht="18.75" x14ac:dyDescent="0.35">
      <c r="A16" s="82" t="s">
        <v>48</v>
      </c>
      <c r="B16" s="21">
        <f>-B8*B5*(1-B9)</f>
        <v>-4.08</v>
      </c>
      <c r="C16" s="21">
        <f>-C8*C5*(1-C9)</f>
        <v>-7.2900000000000009</v>
      </c>
      <c r="D16" s="21">
        <f>-D8*D5*(1-D9)</f>
        <v>-9.2340000000000018</v>
      </c>
      <c r="E16" s="21">
        <f>-E8*E5*(1-E9)</f>
        <v>-12.054000000000002</v>
      </c>
      <c r="F16" s="39"/>
    </row>
    <row r="17" spans="1:7" x14ac:dyDescent="0.25">
      <c r="A17" s="25" t="s">
        <v>11</v>
      </c>
      <c r="B17" s="21">
        <f>C5-B5</f>
        <v>10</v>
      </c>
      <c r="C17" s="21">
        <f>D5-C5</f>
        <v>10</v>
      </c>
      <c r="D17" s="21">
        <f>E5-D5</f>
        <v>20</v>
      </c>
      <c r="E17" s="21">
        <f>E5*H7</f>
        <v>6.3</v>
      </c>
      <c r="F17" s="39"/>
    </row>
    <row r="18" spans="1:7" x14ac:dyDescent="0.25">
      <c r="A18" s="9" t="s">
        <v>6</v>
      </c>
      <c r="B18" s="99">
        <f>SUM(B15:B17)</f>
        <v>33.92</v>
      </c>
      <c r="C18" s="90">
        <f t="shared" ref="C18:E18" si="0">SUM(C15:C17)</f>
        <v>36.17</v>
      </c>
      <c r="D18" s="90">
        <f t="shared" si="0"/>
        <v>49.57200000000001</v>
      </c>
      <c r="E18" s="33">
        <f t="shared" si="0"/>
        <v>43.263960000000004</v>
      </c>
      <c r="F18" s="39"/>
    </row>
    <row r="20" spans="1:7" ht="17.25" x14ac:dyDescent="0.3">
      <c r="A20" s="57" t="s">
        <v>92</v>
      </c>
      <c r="B20" s="38"/>
      <c r="C20" s="38"/>
      <c r="D20" s="38"/>
      <c r="E20" s="39"/>
      <c r="F20" s="39"/>
    </row>
    <row r="21" spans="1:7" x14ac:dyDescent="0.25">
      <c r="A21" s="22" t="s">
        <v>38</v>
      </c>
      <c r="B21" s="128">
        <f>B5</f>
        <v>170</v>
      </c>
      <c r="C21" s="23">
        <f t="shared" ref="C21:E21" si="1">C5</f>
        <v>180</v>
      </c>
      <c r="D21" s="23">
        <f t="shared" si="1"/>
        <v>190</v>
      </c>
      <c r="E21" s="89">
        <f t="shared" si="1"/>
        <v>210</v>
      </c>
      <c r="F21" s="39"/>
    </row>
    <row r="22" spans="1:7" ht="18.75" x14ac:dyDescent="0.35">
      <c r="A22" s="12" t="s">
        <v>42</v>
      </c>
      <c r="B22" s="27">
        <f>B8</f>
        <v>0.03</v>
      </c>
      <c r="C22" s="27">
        <f t="shared" ref="C22:E22" si="2">C8</f>
        <v>0.05</v>
      </c>
      <c r="D22" s="27">
        <f t="shared" si="2"/>
        <v>0.06</v>
      </c>
      <c r="E22" s="27">
        <f t="shared" si="2"/>
        <v>7.0000000000000007E-2</v>
      </c>
      <c r="F22" s="39"/>
    </row>
    <row r="23" spans="1:7" x14ac:dyDescent="0.25">
      <c r="A23" s="129" t="s">
        <v>79</v>
      </c>
      <c r="B23" s="136">
        <v>0.05</v>
      </c>
      <c r="C23" s="136">
        <v>0.1</v>
      </c>
      <c r="D23" s="136">
        <v>0.11</v>
      </c>
      <c r="E23" s="136">
        <v>0.12</v>
      </c>
      <c r="F23" s="39"/>
    </row>
    <row r="24" spans="1:7" x14ac:dyDescent="0.25">
      <c r="A24" s="22" t="s">
        <v>74</v>
      </c>
      <c r="B24" s="23">
        <f>B21*B22*B9</f>
        <v>1.02</v>
      </c>
      <c r="C24" s="23">
        <f t="shared" ref="C24:E24" si="3">C21*C22*C9</f>
        <v>1.71</v>
      </c>
      <c r="D24" s="23">
        <f t="shared" si="3"/>
        <v>2.1659999999999999</v>
      </c>
      <c r="E24" s="23">
        <f t="shared" si="3"/>
        <v>2.6459999999999999</v>
      </c>
      <c r="F24" s="44"/>
    </row>
    <row r="25" spans="1:7" x14ac:dyDescent="0.25">
      <c r="A25" s="9" t="s">
        <v>12</v>
      </c>
      <c r="B25" s="90">
        <f>(C25+B24)/(1+B23)</f>
        <v>27.073452673452667</v>
      </c>
      <c r="C25" s="90">
        <f t="shared" ref="C25:D25" si="4">(D25+C24)/(1+C23)</f>
        <v>27.407125307125302</v>
      </c>
      <c r="D25" s="90">
        <f t="shared" si="4"/>
        <v>28.437837837837833</v>
      </c>
      <c r="E25" s="90">
        <f>E24/(E23-H7)</f>
        <v>29.4</v>
      </c>
      <c r="F25" s="44"/>
    </row>
    <row r="26" spans="1:7" x14ac:dyDescent="0.25">
      <c r="E26" s="2"/>
      <c r="F26" s="2"/>
    </row>
    <row r="27" spans="1:7" x14ac:dyDescent="0.25">
      <c r="A27" s="57" t="s">
        <v>59</v>
      </c>
      <c r="B27" s="6"/>
      <c r="C27" s="6"/>
      <c r="D27" s="6"/>
    </row>
    <row r="28" spans="1:7" x14ac:dyDescent="0.25">
      <c r="A28" s="71" t="s">
        <v>58</v>
      </c>
      <c r="B28" s="100">
        <f ca="1">B38</f>
        <v>0.45844144196934355</v>
      </c>
      <c r="C28" s="19">
        <f ca="1">C38</f>
        <v>0.45602231935158583</v>
      </c>
      <c r="D28" s="19">
        <f ca="1">D38</f>
        <v>0.4552154332587281</v>
      </c>
      <c r="E28" s="19">
        <f ca="1">E38</f>
        <v>0.47958016182404878</v>
      </c>
      <c r="F28" s="123"/>
    </row>
    <row r="29" spans="1:7" x14ac:dyDescent="0.25">
      <c r="A29" s="73" t="s">
        <v>10</v>
      </c>
      <c r="B29" s="101">
        <f ca="1">(1-B28)</f>
        <v>0.54155855803065645</v>
      </c>
      <c r="C29" s="20">
        <f ca="1">(1-C28)</f>
        <v>0.54397768064841423</v>
      </c>
      <c r="D29" s="20">
        <f ca="1">(1-D28)</f>
        <v>0.54478456674127185</v>
      </c>
      <c r="E29" s="20">
        <f ca="1">(1-E28)</f>
        <v>0.52041983817595128</v>
      </c>
      <c r="F29" s="123"/>
    </row>
    <row r="30" spans="1:7" x14ac:dyDescent="0.25">
      <c r="A30" s="73" t="s">
        <v>13</v>
      </c>
      <c r="B30" s="102">
        <f ca="1">B28/B29</f>
        <v>0.84652238464559948</v>
      </c>
      <c r="C30" s="18">
        <f ca="1">C28/C29</f>
        <v>0.83831071673384328</v>
      </c>
      <c r="D30" s="18">
        <f ca="1">D28/D29</f>
        <v>0.83558797559498088</v>
      </c>
      <c r="E30" s="18">
        <f ca="1">E28/E29</f>
        <v>0.9215255196745693</v>
      </c>
      <c r="F30" s="123"/>
    </row>
    <row r="31" spans="1:7" ht="18.75" x14ac:dyDescent="0.35">
      <c r="A31" s="71" t="s">
        <v>60</v>
      </c>
      <c r="B31" s="72">
        <f>B8*(1-B9)</f>
        <v>2.4E-2</v>
      </c>
      <c r="C31" s="72">
        <f t="shared" ref="C31:E31" si="5">C8*(1-C9)</f>
        <v>4.0500000000000008E-2</v>
      </c>
      <c r="D31" s="72">
        <f t="shared" si="5"/>
        <v>4.8600000000000004E-2</v>
      </c>
      <c r="E31" s="72">
        <f t="shared" si="5"/>
        <v>5.7400000000000007E-2</v>
      </c>
      <c r="F31" s="123"/>
    </row>
    <row r="32" spans="1:7" ht="17.25" x14ac:dyDescent="0.3">
      <c r="A32" s="97" t="s">
        <v>62</v>
      </c>
      <c r="B32" s="131">
        <f ca="1">$H$6+($H$6-B8)*B28/B29-B25*($H$6-B23)/B37</f>
        <v>0.23810134279410666</v>
      </c>
      <c r="C32" s="131">
        <f ca="1">$H$6+($H$6-C8)*C28/C29-C25*($H$6-C23)/C37</f>
        <v>0.2274489364345425</v>
      </c>
      <c r="D32" s="131">
        <f ca="1">$H$6+($H$6-D8)*D28/D29-D25*($H$6-D23)/D37</f>
        <v>0.22020032509844992</v>
      </c>
      <c r="E32" s="131">
        <f ca="1">$H$6+($H$6-E8)*E28/E29-E25*($H$6-E23)/E37</f>
        <v>0.21985163439133235</v>
      </c>
      <c r="F32" s="122"/>
      <c r="G32" s="45"/>
    </row>
    <row r="33" spans="1:6" x14ac:dyDescent="0.25">
      <c r="A33" s="77" t="s">
        <v>63</v>
      </c>
      <c r="B33" s="104">
        <f ca="1">B31*B28+B32*B29</f>
        <v>0.13994841447600367</v>
      </c>
      <c r="C33" s="104">
        <f t="shared" ref="C33:E33" ca="1" si="6">C31*C28+C32*C29</f>
        <v>0.14219604884135026</v>
      </c>
      <c r="D33" s="104">
        <f t="shared" ca="1" si="6"/>
        <v>0.14208520876142042</v>
      </c>
      <c r="E33" s="104">
        <f t="shared" ca="1" si="6"/>
        <v>0.14194305328135598</v>
      </c>
      <c r="F33" s="123"/>
    </row>
    <row r="34" spans="1:6" x14ac:dyDescent="0.25">
      <c r="A34" s="17" t="s">
        <v>14</v>
      </c>
      <c r="B34" s="24">
        <f>B15</f>
        <v>28</v>
      </c>
      <c r="C34" s="24">
        <f t="shared" ref="C34:E34" si="7">C15</f>
        <v>33.46</v>
      </c>
      <c r="D34" s="24">
        <f t="shared" si="7"/>
        <v>38.806000000000012</v>
      </c>
      <c r="E34" s="24">
        <f t="shared" si="7"/>
        <v>49.017960000000009</v>
      </c>
      <c r="F34" s="44"/>
    </row>
    <row r="35" spans="1:6" x14ac:dyDescent="0.25">
      <c r="A35" s="15" t="s">
        <v>5</v>
      </c>
      <c r="B35" s="16">
        <f ca="1">(C35+B34)/(1+B33)</f>
        <v>370.82162395643121</v>
      </c>
      <c r="C35" s="16">
        <f ca="1">(D35+C34)/(1+C33)</f>
        <v>394.71752228255065</v>
      </c>
      <c r="D35" s="16">
        <f ca="1">(E35+D34)/(1+D33)</f>
        <v>417.38479435957703</v>
      </c>
      <c r="E35" s="16">
        <f ca="1">E34/(E33-H7)</f>
        <v>437.8830000000001</v>
      </c>
      <c r="F35" s="6"/>
    </row>
    <row r="36" spans="1:6" x14ac:dyDescent="0.25">
      <c r="A36" s="17" t="s">
        <v>38</v>
      </c>
      <c r="B36" s="108">
        <f>B5</f>
        <v>170</v>
      </c>
      <c r="C36" s="108">
        <f>C5</f>
        <v>180</v>
      </c>
      <c r="D36" s="108">
        <f>D5</f>
        <v>190</v>
      </c>
      <c r="E36" s="108">
        <f>E5</f>
        <v>210</v>
      </c>
      <c r="F36" s="44"/>
    </row>
    <row r="37" spans="1:6" x14ac:dyDescent="0.25">
      <c r="A37" s="80" t="s">
        <v>49</v>
      </c>
      <c r="B37" s="81">
        <f ca="1">B35-B36</f>
        <v>200.82162395643121</v>
      </c>
      <c r="C37" s="37">
        <f t="shared" ref="C37:E37" ca="1" si="8">C35-C36</f>
        <v>214.71752228255065</v>
      </c>
      <c r="D37" s="37">
        <f t="shared" ca="1" si="8"/>
        <v>227.38479435957703</v>
      </c>
      <c r="E37" s="37">
        <f t="shared" ca="1" si="8"/>
        <v>227.8830000000001</v>
      </c>
      <c r="F37" s="43"/>
    </row>
    <row r="38" spans="1:6" ht="18.75" x14ac:dyDescent="0.35">
      <c r="A38" s="13" t="s">
        <v>46</v>
      </c>
      <c r="B38" s="32">
        <f ca="1">B36/B35</f>
        <v>0.45844144196934355</v>
      </c>
      <c r="C38" s="32">
        <f t="shared" ref="C38:E38" ca="1" si="9">C36/C35</f>
        <v>0.45602231935158583</v>
      </c>
      <c r="D38" s="32">
        <f t="shared" ca="1" si="9"/>
        <v>0.4552154332587281</v>
      </c>
      <c r="E38" s="32">
        <f t="shared" ca="1" si="9"/>
        <v>0.47958016182404878</v>
      </c>
      <c r="F38" s="123"/>
    </row>
    <row r="39" spans="1:6" x14ac:dyDescent="0.25">
      <c r="F39" s="44"/>
    </row>
    <row r="40" spans="1:6" x14ac:dyDescent="0.25">
      <c r="A40" s="57" t="s">
        <v>67</v>
      </c>
      <c r="F40" s="44"/>
    </row>
    <row r="41" spans="1:6" x14ac:dyDescent="0.25">
      <c r="A41" s="17" t="s">
        <v>6</v>
      </c>
      <c r="B41" s="24">
        <f>B18</f>
        <v>33.92</v>
      </c>
      <c r="C41" s="24">
        <f t="shared" ref="C41:E41" si="10">C18</f>
        <v>36.17</v>
      </c>
      <c r="D41" s="24">
        <f t="shared" si="10"/>
        <v>49.57200000000001</v>
      </c>
      <c r="E41" s="24">
        <f t="shared" si="10"/>
        <v>43.263960000000004</v>
      </c>
      <c r="F41" s="38"/>
    </row>
    <row r="42" spans="1:6" ht="17.25" x14ac:dyDescent="0.3">
      <c r="A42" s="97" t="s">
        <v>62</v>
      </c>
      <c r="B42" s="103">
        <f ca="1">B32</f>
        <v>0.23810134279410666</v>
      </c>
      <c r="C42" s="103">
        <f ca="1">C32</f>
        <v>0.2274489364345425</v>
      </c>
      <c r="D42" s="103">
        <f ca="1">D32</f>
        <v>0.22020032509844992</v>
      </c>
      <c r="E42" s="103">
        <f ca="1">E32</f>
        <v>0.21985163439133235</v>
      </c>
      <c r="F42" s="124"/>
    </row>
    <row r="43" spans="1:6" x14ac:dyDescent="0.25">
      <c r="A43" s="83" t="s">
        <v>49</v>
      </c>
      <c r="B43" s="106">
        <f ca="1">(C43+B41)/(1+B42)</f>
        <v>200.82162395643127</v>
      </c>
      <c r="C43" s="107">
        <f ca="1">(D43+C41)/(1+C42)</f>
        <v>214.7175222825507</v>
      </c>
      <c r="D43" s="107">
        <f ca="1">(E43+D41)/(1+D42)</f>
        <v>227.38479435957706</v>
      </c>
      <c r="E43" s="107">
        <f ca="1">E41/(E42-H7)</f>
        <v>227.88300000000007</v>
      </c>
      <c r="F43" s="125"/>
    </row>
    <row r="44" spans="1:6" x14ac:dyDescent="0.25">
      <c r="A44" s="7"/>
    </row>
    <row r="45" spans="1:6" x14ac:dyDescent="0.25">
      <c r="A45" s="57" t="s">
        <v>64</v>
      </c>
      <c r="B45" s="3"/>
      <c r="C45" s="3"/>
      <c r="D45" s="3"/>
    </row>
    <row r="46" spans="1:6" ht="17.25" x14ac:dyDescent="0.3">
      <c r="A46" s="75" t="s">
        <v>53</v>
      </c>
      <c r="B46" s="76">
        <f>$H$6</f>
        <v>0.15</v>
      </c>
      <c r="C46" s="76">
        <f>$H$6</f>
        <v>0.15</v>
      </c>
      <c r="D46" s="76">
        <f>$H$6</f>
        <v>0.15</v>
      </c>
      <c r="E46" s="76">
        <f>$H$6</f>
        <v>0.15</v>
      </c>
      <c r="F46" s="126"/>
    </row>
    <row r="47" spans="1:6" x14ac:dyDescent="0.25">
      <c r="A47" s="12" t="s">
        <v>14</v>
      </c>
      <c r="B47" s="21">
        <f>B15</f>
        <v>28</v>
      </c>
      <c r="C47" s="21">
        <f t="shared" ref="C47:E47" si="11">C15</f>
        <v>33.46</v>
      </c>
      <c r="D47" s="21">
        <f t="shared" si="11"/>
        <v>38.806000000000012</v>
      </c>
      <c r="E47" s="21">
        <f t="shared" si="11"/>
        <v>49.017960000000009</v>
      </c>
      <c r="F47" s="44"/>
    </row>
    <row r="48" spans="1:6" x14ac:dyDescent="0.25">
      <c r="A48" s="86" t="s">
        <v>51</v>
      </c>
      <c r="B48" s="34">
        <f>(C48+B47)/(1+B46)</f>
        <v>343.74817128297866</v>
      </c>
      <c r="C48" s="14">
        <f>(D48+C47)/(1+C46)</f>
        <v>367.31039697542542</v>
      </c>
      <c r="D48" s="14">
        <f>(E48+D47)/(1+D46)</f>
        <v>388.94695652173925</v>
      </c>
      <c r="E48" s="11">
        <f>E47/(E46-$H$7)</f>
        <v>408.48300000000012</v>
      </c>
      <c r="F48" s="44"/>
    </row>
    <row r="49" spans="1:6" x14ac:dyDescent="0.25">
      <c r="A49" s="13" t="s">
        <v>137</v>
      </c>
      <c r="B49" s="34">
        <f>B25</f>
        <v>27.073452673452667</v>
      </c>
      <c r="C49" s="34">
        <f t="shared" ref="C49:E49" si="12">C25</f>
        <v>27.407125307125302</v>
      </c>
      <c r="D49" s="34">
        <f t="shared" si="12"/>
        <v>28.437837837837833</v>
      </c>
      <c r="E49" s="34">
        <f t="shared" si="12"/>
        <v>29.4</v>
      </c>
      <c r="F49" s="44"/>
    </row>
    <row r="50" spans="1:6" x14ac:dyDescent="0.25">
      <c r="A50" s="35" t="s">
        <v>9</v>
      </c>
      <c r="B50" s="36">
        <f>B48+B49</f>
        <v>370.82162395643132</v>
      </c>
      <c r="C50" s="36">
        <f>C48+C49</f>
        <v>394.7175222825507</v>
      </c>
      <c r="D50" s="36">
        <f>D48+D49</f>
        <v>417.38479435957709</v>
      </c>
      <c r="E50" s="36">
        <f>E48+E49</f>
        <v>437.8830000000001</v>
      </c>
      <c r="F50" s="6"/>
    </row>
    <row r="51" spans="1:6" x14ac:dyDescent="0.25">
      <c r="A51" s="40" t="s">
        <v>2</v>
      </c>
      <c r="B51" s="41">
        <f>B5</f>
        <v>170</v>
      </c>
      <c r="C51" s="41">
        <f>C5</f>
        <v>180</v>
      </c>
      <c r="D51" s="41">
        <f>D5</f>
        <v>190</v>
      </c>
      <c r="E51" s="41">
        <f>E5</f>
        <v>210</v>
      </c>
      <c r="F51" s="6"/>
    </row>
    <row r="52" spans="1:6" x14ac:dyDescent="0.25">
      <c r="A52" s="83" t="s">
        <v>49</v>
      </c>
      <c r="B52" s="105">
        <f>B50-B51</f>
        <v>200.82162395643132</v>
      </c>
      <c r="C52" s="85">
        <f t="shared" ref="C52:E52" si="13">C50-C51</f>
        <v>214.7175222825507</v>
      </c>
      <c r="D52" s="85">
        <f t="shared" si="13"/>
        <v>227.38479435957709</v>
      </c>
      <c r="E52" s="85">
        <f t="shared" si="13"/>
        <v>227.8830000000001</v>
      </c>
      <c r="F52" s="43"/>
    </row>
    <row r="53" spans="1:6" x14ac:dyDescent="0.25">
      <c r="B53" s="44"/>
      <c r="C53" s="1"/>
      <c r="D53" s="1"/>
      <c r="E53" s="8"/>
      <c r="F53" s="8"/>
    </row>
    <row r="57" spans="1:6" x14ac:dyDescent="0.25">
      <c r="A57" s="7"/>
    </row>
    <row r="58" spans="1:6" x14ac:dyDescent="0.25">
      <c r="A58" s="7"/>
    </row>
    <row r="59" spans="1:6" x14ac:dyDescent="0.25">
      <c r="A59" s="7"/>
    </row>
    <row r="60" spans="1:6" x14ac:dyDescent="0.25">
      <c r="A60" s="7"/>
    </row>
    <row r="61" spans="1:6" x14ac:dyDescent="0.25">
      <c r="A61" s="7"/>
    </row>
    <row r="62" spans="1:6" x14ac:dyDescent="0.25">
      <c r="A62" s="7"/>
    </row>
    <row r="63" spans="1:6" x14ac:dyDescent="0.25">
      <c r="A63" s="7"/>
    </row>
    <row r="64" spans="1:6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</sheetData>
  <hyperlinks>
    <hyperlink ref="I1" location="Úvod!A31" display="Skok na obsah" xr:uid="{8FCB2AA9-9289-4F8B-A2DE-1D63697D6E36}"/>
  </hyperlinks>
  <printOptions gridLinesSet="0"/>
  <pageMargins left="0.78740157480314965" right="0.78740157480314965" top="0.98425196850393704" bottom="0.78740157480314965" header="0.51181102362204722" footer="0.51181102362204722"/>
  <pageSetup paperSize="9" scale="79" orientation="portrait" horizontalDpi="180" verticalDpi="180" r:id="rId1"/>
  <headerFooter alignWithMargins="0">
    <oddHeader>&amp;L&amp;"Arial CE,Obyčejné"&amp;10Mařík, M. a kol.: Metody oceňování podniku pro pokročilé
Ekopress 2023&amp;R&amp;"Arial CE,Obyčejné"&amp;10Příklad: Vzájemná shoda variant DCF</oddHeader>
    <oddFooter>&amp;C&amp;"Arial CE,Obyčejné"&amp;10&amp;A&amp;R&amp;"Arial CE,Obyčejné"&amp;10©  Miloš Mařík, Pavla Maříková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Úvod</vt:lpstr>
      <vt:lpstr>1-MM, cílová struktura</vt:lpstr>
      <vt:lpstr>2-MM, stabilita, iterace</vt:lpstr>
      <vt:lpstr>3 -MM, růst, iterace</vt:lpstr>
      <vt:lpstr>4-Modif. funce</vt:lpstr>
      <vt:lpstr>5-Nejisté DS</vt:lpstr>
      <vt:lpstr>6-Nejisté DS od 2. roku</vt:lpstr>
      <vt:lpstr>7,8-Jisté DS+Miles-Ezzel </vt:lpstr>
      <vt:lpstr>9-Univerzální reagenční funkce</vt:lpstr>
      <vt:lpstr>10a-Beta - stabilní CK</vt:lpstr>
      <vt:lpstr>10b-Beta - stabilní CK, nCK=rf</vt:lpstr>
      <vt:lpstr>11-Beta - stabilní CK, nCK&gt;rf</vt:lpstr>
      <vt:lpstr>12-Beta - proměnlivý CK, nCK&gt;rf</vt:lpstr>
      <vt:lpstr>13-Beta - DS diskontovány nVKn</vt:lpstr>
      <vt:lpstr>14-Beta - univerzální funkce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Vzájemná shoda variant metody DCF</dc:title>
  <dc:subject>Metody oceňování podniku pro pokročilé</dc:subject>
  <dc:creator>Mařík Miloš, Maříková Pavla</dc:creator>
  <cp:lastModifiedBy>Pavla Maříková</cp:lastModifiedBy>
  <cp:lastPrinted>2023-08-09T15:44:55Z</cp:lastPrinted>
  <dcterms:created xsi:type="dcterms:W3CDTF">2012-01-14T10:47:41Z</dcterms:created>
  <dcterms:modified xsi:type="dcterms:W3CDTF">2023-08-09T15:45:10Z</dcterms:modified>
</cp:coreProperties>
</file>