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y\Publikace\Knihy\Metody oceň - 2. díl 2023\Internet\"/>
    </mc:Choice>
  </mc:AlternateContent>
  <xr:revisionPtr revIDLastSave="0" documentId="13_ncr:1_{E811F5B2-BDDE-41F3-BA6E-2E11557666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sah" sheetId="1" r:id="rId1"/>
    <sheet name="1 Aktiva" sheetId="2" r:id="rId2"/>
    <sheet name="2 Pasiva" sheetId="3" r:id="rId3"/>
    <sheet name="3 Výsledovka" sheetId="4" r:id="rId4"/>
    <sheet name="4 Cash flow" sheetId="14" r:id="rId5"/>
    <sheet name="5 Informace" sheetId="5" r:id="rId6"/>
    <sheet name="6 Marketing" sheetId="7" r:id="rId7"/>
    <sheet name="7 Leasing" sheetId="6" r:id="rId8"/>
    <sheet name="8 NOA" sheetId="8" r:id="rId9"/>
    <sheet name="9 NOPAT" sheetId="10" r:id="rId10"/>
    <sheet name="10 WACC" sheetId="9" r:id="rId11"/>
    <sheet name="11 EVA" sheetId="11" r:id="rId12"/>
    <sheet name="12 DCF" sheetId="12" r:id="rId13"/>
    <sheet name="13 Výsledovka upravená" sheetId="19" r:id="rId14"/>
    <sheet name="14 Cash flow upravené" sheetId="23" r:id="rId15"/>
    <sheet name="15 Aktiva upravená" sheetId="20" r:id="rId16"/>
    <sheet name="16 Pasiva upravená" sheetId="21" r:id="rId17"/>
  </sheets>
  <definedNames>
    <definedName name="_xlnm.Print_Area" localSheetId="5">'5 Informace'!$A$1:$F$20</definedName>
    <definedName name="rok">Obsah!$C$45</definedName>
  </definedNames>
  <calcPr calcId="191029" iterate="1"/>
</workbook>
</file>

<file path=xl/calcChain.xml><?xml version="1.0" encoding="utf-8"?>
<calcChain xmlns="http://schemas.openxmlformats.org/spreadsheetml/2006/main">
  <c r="E12" i="21" l="1"/>
  <c r="D12" i="21"/>
  <c r="C12" i="21"/>
  <c r="B12" i="21"/>
  <c r="E13" i="21"/>
  <c r="D13" i="21"/>
  <c r="C13" i="21"/>
  <c r="B13" i="21"/>
  <c r="B16" i="20"/>
  <c r="E12" i="3"/>
  <c r="D12" i="3"/>
  <c r="C12" i="3"/>
  <c r="B12" i="3"/>
  <c r="E13" i="3"/>
  <c r="D13" i="3"/>
  <c r="C13" i="3"/>
  <c r="B13" i="3"/>
  <c r="A12" i="1"/>
  <c r="B40" i="21"/>
  <c r="C40" i="21" s="1"/>
  <c r="D40" i="21" s="1"/>
  <c r="E40" i="21" s="1"/>
  <c r="C28" i="21"/>
  <c r="D28" i="21"/>
  <c r="E28" i="21"/>
  <c r="B28" i="21"/>
  <c r="C17" i="23"/>
  <c r="D17" i="23"/>
  <c r="B17" i="23"/>
  <c r="C37" i="23"/>
  <c r="D37" i="23"/>
  <c r="C26" i="19"/>
  <c r="C27" i="23"/>
  <c r="D26" i="19"/>
  <c r="D27" i="23"/>
  <c r="E26" i="19"/>
  <c r="B26" i="19"/>
  <c r="B27" i="23" s="1"/>
  <c r="C9" i="23"/>
  <c r="C5" i="19"/>
  <c r="D5" i="19"/>
  <c r="B5" i="19"/>
  <c r="D14" i="23"/>
  <c r="C14" i="23"/>
  <c r="B14" i="23"/>
  <c r="E17" i="21"/>
  <c r="D17" i="21"/>
  <c r="C17" i="21"/>
  <c r="B15" i="23" s="1"/>
  <c r="B17" i="21"/>
  <c r="C14" i="21"/>
  <c r="D14" i="21" s="1"/>
  <c r="E21" i="20"/>
  <c r="D12" i="23" s="1"/>
  <c r="D21" i="20"/>
  <c r="C21" i="20"/>
  <c r="B21" i="20"/>
  <c r="E17" i="20"/>
  <c r="D17" i="20"/>
  <c r="C17" i="20"/>
  <c r="B11" i="23" s="1"/>
  <c r="B17" i="20"/>
  <c r="E14" i="20"/>
  <c r="E27" i="21" s="1"/>
  <c r="D14" i="20"/>
  <c r="D27" i="21" s="1"/>
  <c r="C14" i="20"/>
  <c r="C27" i="21" s="1"/>
  <c r="B14" i="20"/>
  <c r="B27" i="21" s="1"/>
  <c r="C11" i="20"/>
  <c r="D11" i="20" s="1"/>
  <c r="E11" i="20" s="1"/>
  <c r="B4" i="20"/>
  <c r="C4" i="20" s="1"/>
  <c r="E10" i="4"/>
  <c r="D10" i="4"/>
  <c r="D8" i="10" s="1"/>
  <c r="C10" i="4"/>
  <c r="C8" i="10" s="1"/>
  <c r="B10" i="4"/>
  <c r="B13" i="19"/>
  <c r="E11" i="19"/>
  <c r="D11" i="19"/>
  <c r="C11" i="19"/>
  <c r="B11" i="19"/>
  <c r="E10" i="19"/>
  <c r="D8" i="23" s="1"/>
  <c r="D10" i="19"/>
  <c r="C8" i="23"/>
  <c r="C10" i="19"/>
  <c r="B8" i="23" s="1"/>
  <c r="B10" i="19"/>
  <c r="E9" i="19"/>
  <c r="D9" i="19"/>
  <c r="C9" i="19"/>
  <c r="B9" i="19"/>
  <c r="E8" i="19"/>
  <c r="D8" i="19"/>
  <c r="C8" i="19"/>
  <c r="B8" i="19"/>
  <c r="E7" i="19"/>
  <c r="D7" i="19"/>
  <c r="C7" i="19"/>
  <c r="B7" i="19"/>
  <c r="B4" i="19"/>
  <c r="C4" i="19" s="1"/>
  <c r="D4" i="19" s="1"/>
  <c r="E4" i="19" s="1"/>
  <c r="E5" i="4"/>
  <c r="E5" i="19" s="1"/>
  <c r="B4" i="5"/>
  <c r="B19" i="5"/>
  <c r="B11" i="4"/>
  <c r="B18" i="19" s="1"/>
  <c r="B19" i="19" s="1"/>
  <c r="B12" i="4"/>
  <c r="B21" i="19" s="1"/>
  <c r="C11" i="4"/>
  <c r="C18" i="19" s="1"/>
  <c r="C12" i="4"/>
  <c r="C21" i="19" s="1"/>
  <c r="B25" i="23" s="1"/>
  <c r="D11" i="4"/>
  <c r="D18" i="19" s="1"/>
  <c r="B10" i="14"/>
  <c r="B7" i="14"/>
  <c r="B16" i="14"/>
  <c r="C10" i="14"/>
  <c r="C7" i="14"/>
  <c r="C16" i="14"/>
  <c r="D9" i="10"/>
  <c r="B13" i="10"/>
  <c r="B13" i="9"/>
  <c r="B14" i="9"/>
  <c r="B9" i="9"/>
  <c r="B10" i="9" s="1"/>
  <c r="B4" i="9"/>
  <c r="B20" i="9"/>
  <c r="B23" i="9"/>
  <c r="B21" i="9"/>
  <c r="B24" i="9"/>
  <c r="C14" i="9"/>
  <c r="C9" i="9"/>
  <c r="C10" i="9" s="1"/>
  <c r="E11" i="4"/>
  <c r="E18" i="19" s="1"/>
  <c r="D10" i="14"/>
  <c r="D7" i="14"/>
  <c r="D16" i="14"/>
  <c r="E9" i="10"/>
  <c r="D14" i="9"/>
  <c r="E14" i="9" s="1"/>
  <c r="D9" i="9"/>
  <c r="E9" i="9" s="1"/>
  <c r="E10" i="9" s="1"/>
  <c r="D10" i="9"/>
  <c r="G10" i="8"/>
  <c r="B13" i="12"/>
  <c r="C13" i="12" s="1"/>
  <c r="D13" i="12" s="1"/>
  <c r="E13" i="12" s="1"/>
  <c r="B6" i="12"/>
  <c r="C6" i="12" s="1"/>
  <c r="D6" i="12" s="1"/>
  <c r="E6" i="12" s="1"/>
  <c r="B6" i="11"/>
  <c r="C6" i="11" s="1"/>
  <c r="D6" i="11" s="1"/>
  <c r="E6" i="11" s="1"/>
  <c r="B13" i="11"/>
  <c r="C13" i="11" s="1"/>
  <c r="D13" i="11" s="1"/>
  <c r="E13" i="11" s="1"/>
  <c r="C11" i="9"/>
  <c r="D11" i="9"/>
  <c r="E11" i="9"/>
  <c r="B11" i="9"/>
  <c r="B25" i="6"/>
  <c r="C17" i="6"/>
  <c r="B17" i="6"/>
  <c r="D17" i="6"/>
  <c r="B37" i="23" s="1"/>
  <c r="E17" i="6"/>
  <c r="B19" i="6"/>
  <c r="B26" i="6" s="1"/>
  <c r="C30" i="6"/>
  <c r="D11" i="10" s="1"/>
  <c r="D30" i="6"/>
  <c r="D13" i="19" s="1"/>
  <c r="E30" i="6"/>
  <c r="E13" i="19" s="1"/>
  <c r="B30" i="6"/>
  <c r="C11" i="10"/>
  <c r="C14" i="3"/>
  <c r="C13" i="9" s="1"/>
  <c r="B16" i="3"/>
  <c r="B18" i="2"/>
  <c r="B14" i="2"/>
  <c r="B8" i="14" s="1"/>
  <c r="B7" i="2"/>
  <c r="B11" i="2"/>
  <c r="G17" i="8" s="1"/>
  <c r="B6" i="2"/>
  <c r="B6" i="8" s="1"/>
  <c r="C14" i="2"/>
  <c r="C18" i="2"/>
  <c r="C9" i="14" s="1"/>
  <c r="C16" i="3"/>
  <c r="C9" i="2"/>
  <c r="D9" i="2" s="1"/>
  <c r="C7" i="2"/>
  <c r="C6" i="2" s="1"/>
  <c r="C11" i="2"/>
  <c r="H17" i="8" s="1"/>
  <c r="D14" i="2"/>
  <c r="C8" i="14" s="1"/>
  <c r="D18" i="2"/>
  <c r="D9" i="14" s="1"/>
  <c r="D16" i="3"/>
  <c r="C11" i="14" s="1"/>
  <c r="D11" i="2"/>
  <c r="I17" i="8"/>
  <c r="E14" i="2"/>
  <c r="D8" i="14" s="1"/>
  <c r="E18" i="2"/>
  <c r="E16" i="3"/>
  <c r="J15" i="8" s="1"/>
  <c r="E11" i="2"/>
  <c r="J17" i="8"/>
  <c r="D13" i="7"/>
  <c r="D14" i="7" s="1"/>
  <c r="D12" i="7"/>
  <c r="B15" i="7"/>
  <c r="C15" i="7"/>
  <c r="D15" i="7" s="1"/>
  <c r="B12" i="7"/>
  <c r="B14" i="7" s="1"/>
  <c r="C12" i="7"/>
  <c r="C13" i="7"/>
  <c r="C14" i="7"/>
  <c r="C12" i="19" s="1"/>
  <c r="E13" i="7"/>
  <c r="E14" i="7"/>
  <c r="E32" i="19" s="1"/>
  <c r="E12" i="19"/>
  <c r="C7" i="10"/>
  <c r="D7" i="10"/>
  <c r="E7" i="10" s="1"/>
  <c r="F7" i="10" s="1"/>
  <c r="B4" i="2"/>
  <c r="C16" i="6" s="1"/>
  <c r="D16" i="6" s="1"/>
  <c r="E16" i="6" s="1"/>
  <c r="C4" i="2"/>
  <c r="C5" i="8" s="1"/>
  <c r="A5" i="10"/>
  <c r="A5" i="6"/>
  <c r="B6" i="9"/>
  <c r="C6" i="9" s="1"/>
  <c r="D6" i="9" s="1"/>
  <c r="E6" i="9" s="1"/>
  <c r="B31" i="6"/>
  <c r="B13" i="20" s="1"/>
  <c r="B9" i="20" s="1"/>
  <c r="C20" i="9"/>
  <c r="C23" i="9" s="1"/>
  <c r="C9" i="10"/>
  <c r="H15" i="8"/>
  <c r="B8" i="8"/>
  <c r="E8" i="10"/>
  <c r="F8" i="10"/>
  <c r="F12" i="10" s="1"/>
  <c r="C12" i="23"/>
  <c r="B10" i="23"/>
  <c r="D10" i="23"/>
  <c r="C21" i="9"/>
  <c r="D20" i="9"/>
  <c r="D23" i="9" s="1"/>
  <c r="E20" i="9"/>
  <c r="E23" i="9" s="1"/>
  <c r="C24" i="9"/>
  <c r="D21" i="9"/>
  <c r="D24" i="9" s="1"/>
  <c r="E21" i="9"/>
  <c r="E24" i="9" s="1"/>
  <c r="C15" i="23" l="1"/>
  <c r="D15" i="23"/>
  <c r="B28" i="23"/>
  <c r="B12" i="23"/>
  <c r="D11" i="23"/>
  <c r="B4" i="21"/>
  <c r="C11" i="23"/>
  <c r="G15" i="8"/>
  <c r="B26" i="20" s="1"/>
  <c r="I15" i="8"/>
  <c r="D26" i="20" s="1"/>
  <c r="D11" i="14"/>
  <c r="D13" i="23"/>
  <c r="D38" i="23" s="1"/>
  <c r="B11" i="14"/>
  <c r="H10" i="8"/>
  <c r="C13" i="4"/>
  <c r="C14" i="4" s="1"/>
  <c r="C15" i="4" s="1"/>
  <c r="C16" i="4" s="1"/>
  <c r="D19" i="19"/>
  <c r="C21" i="23"/>
  <c r="C22" i="23" s="1"/>
  <c r="D4" i="20"/>
  <c r="C4" i="21"/>
  <c r="B4" i="23"/>
  <c r="E9" i="2"/>
  <c r="E7" i="2" s="1"/>
  <c r="E6" i="2" s="1"/>
  <c r="D7" i="2"/>
  <c r="D6" i="2" s="1"/>
  <c r="E14" i="19"/>
  <c r="B13" i="14"/>
  <c r="B15" i="14" s="1"/>
  <c r="C6" i="8"/>
  <c r="B32" i="19"/>
  <c r="B16" i="7"/>
  <c r="B12" i="19"/>
  <c r="B14" i="19" s="1"/>
  <c r="E15" i="7"/>
  <c r="B33" i="6"/>
  <c r="B22" i="19"/>
  <c r="H14" i="8"/>
  <c r="H21" i="8" s="1"/>
  <c r="H5" i="8"/>
  <c r="E14" i="21"/>
  <c r="C28" i="23"/>
  <c r="D32" i="19"/>
  <c r="D12" i="19"/>
  <c r="D14" i="19" s="1"/>
  <c r="D15" i="19" s="1"/>
  <c r="D10" i="10"/>
  <c r="D12" i="10" s="1"/>
  <c r="D13" i="10" s="1"/>
  <c r="D14" i="10" s="1"/>
  <c r="C10" i="23"/>
  <c r="B27" i="6"/>
  <c r="B28" i="6" s="1"/>
  <c r="B4" i="3"/>
  <c r="D9" i="23"/>
  <c r="B10" i="7"/>
  <c r="E10" i="10"/>
  <c r="E12" i="10" s="1"/>
  <c r="E13" i="10" s="1"/>
  <c r="E14" i="10" s="1"/>
  <c r="D14" i="3"/>
  <c r="B9" i="14"/>
  <c r="B17" i="14"/>
  <c r="B18" i="14" s="1"/>
  <c r="B22" i="9"/>
  <c r="B25" i="9" s="1"/>
  <c r="B9" i="23"/>
  <c r="B23" i="6"/>
  <c r="C23" i="6" s="1"/>
  <c r="D23" i="6" s="1"/>
  <c r="E23" i="6" s="1"/>
  <c r="B5" i="8"/>
  <c r="C4" i="4"/>
  <c r="C10" i="10"/>
  <c r="C12" i="10" s="1"/>
  <c r="C14" i="10" s="1"/>
  <c r="C4" i="3"/>
  <c r="C32" i="19"/>
  <c r="C31" i="6"/>
  <c r="D12" i="4"/>
  <c r="E11" i="10"/>
  <c r="C13" i="19"/>
  <c r="C14" i="19" s="1"/>
  <c r="D22" i="9"/>
  <c r="D25" i="9" s="1"/>
  <c r="B4" i="14"/>
  <c r="D4" i="2"/>
  <c r="B13" i="23"/>
  <c r="B38" i="23" s="1"/>
  <c r="B13" i="4"/>
  <c r="B14" i="4" s="1"/>
  <c r="B15" i="4" s="1"/>
  <c r="B16" i="4" s="1"/>
  <c r="B4" i="4"/>
  <c r="C22" i="9"/>
  <c r="C25" i="9" s="1"/>
  <c r="E22" i="9"/>
  <c r="E25" i="9" s="1"/>
  <c r="C13" i="10"/>
  <c r="F13" i="10"/>
  <c r="F14" i="10" s="1"/>
  <c r="D21" i="23"/>
  <c r="D22" i="23" s="1"/>
  <c r="E19" i="19"/>
  <c r="B21" i="23"/>
  <c r="B22" i="23" s="1"/>
  <c r="C19" i="19"/>
  <c r="B23" i="19"/>
  <c r="C26" i="20"/>
  <c r="E26" i="20"/>
  <c r="B23" i="21" l="1"/>
  <c r="D23" i="21"/>
  <c r="C13" i="23"/>
  <c r="C38" i="23" s="1"/>
  <c r="B11" i="3"/>
  <c r="B6" i="3" s="1"/>
  <c r="B5" i="3" s="1"/>
  <c r="B22" i="2" s="1"/>
  <c r="B13" i="2" s="1"/>
  <c r="B30" i="19"/>
  <c r="B18" i="4"/>
  <c r="C10" i="3" s="1"/>
  <c r="D7" i="12"/>
  <c r="D7" i="11"/>
  <c r="C15" i="19"/>
  <c r="C16" i="19"/>
  <c r="B7" i="23" s="1"/>
  <c r="B16" i="23" s="1"/>
  <c r="D28" i="23"/>
  <c r="C10" i="7"/>
  <c r="A12" i="7"/>
  <c r="B15" i="19"/>
  <c r="B16" i="19"/>
  <c r="B24" i="19" s="1"/>
  <c r="B27" i="19" s="1"/>
  <c r="C10" i="21" s="1"/>
  <c r="D16" i="19"/>
  <c r="C7" i="23" s="1"/>
  <c r="D4" i="3"/>
  <c r="C4" i="14"/>
  <c r="D5" i="8"/>
  <c r="D4" i="4"/>
  <c r="E4" i="2"/>
  <c r="G14" i="8"/>
  <c r="G21" i="8" s="1"/>
  <c r="G5" i="8"/>
  <c r="E15" i="19"/>
  <c r="E16" i="19"/>
  <c r="D7" i="23" s="1"/>
  <c r="D16" i="23" s="1"/>
  <c r="B31" i="19"/>
  <c r="B34" i="6"/>
  <c r="D13" i="14"/>
  <c r="D15" i="14" s="1"/>
  <c r="E6" i="8"/>
  <c r="C25" i="6"/>
  <c r="B16" i="21"/>
  <c r="G9" i="8"/>
  <c r="D6" i="8"/>
  <c r="C13" i="14"/>
  <c r="C15" i="14" s="1"/>
  <c r="D13" i="4"/>
  <c r="D14" i="4" s="1"/>
  <c r="D21" i="19"/>
  <c r="C8" i="8"/>
  <c r="C13" i="20"/>
  <c r="C9" i="20" s="1"/>
  <c r="B18" i="23" s="1"/>
  <c r="D31" i="6"/>
  <c r="B33" i="19"/>
  <c r="B34" i="21" s="1"/>
  <c r="B35" i="21" s="1"/>
  <c r="B41" i="21" s="1"/>
  <c r="C16" i="7"/>
  <c r="B17" i="7"/>
  <c r="E4" i="20"/>
  <c r="C4" i="23"/>
  <c r="D4" i="21"/>
  <c r="E12" i="4"/>
  <c r="C17" i="14"/>
  <c r="C18" i="14" s="1"/>
  <c r="I10" i="8"/>
  <c r="D13" i="9"/>
  <c r="E14" i="3"/>
  <c r="C30" i="19"/>
  <c r="C11" i="3"/>
  <c r="C18" i="4"/>
  <c r="B6" i="14"/>
  <c r="B12" i="14" s="1"/>
  <c r="B19" i="14" s="1"/>
  <c r="B36" i="23" s="1"/>
  <c r="E7" i="12"/>
  <c r="E9" i="12" s="1"/>
  <c r="E7" i="11"/>
  <c r="E23" i="21"/>
  <c r="C23" i="21"/>
  <c r="C7" i="12"/>
  <c r="C7" i="11"/>
  <c r="B7" i="11"/>
  <c r="B7" i="12"/>
  <c r="B19" i="23" l="1"/>
  <c r="C16" i="23"/>
  <c r="C6" i="3"/>
  <c r="H6" i="8" s="1"/>
  <c r="D10" i="3"/>
  <c r="G8" i="8"/>
  <c r="E21" i="19"/>
  <c r="E13" i="4"/>
  <c r="E14" i="4" s="1"/>
  <c r="E15" i="4" s="1"/>
  <c r="E16" i="4" s="1"/>
  <c r="B34" i="19"/>
  <c r="E13" i="9"/>
  <c r="D10" i="7"/>
  <c r="E10" i="7" s="1"/>
  <c r="A13" i="7"/>
  <c r="D15" i="4"/>
  <c r="D16" i="4" s="1"/>
  <c r="B11" i="21"/>
  <c r="B6" i="21" s="1"/>
  <c r="B5" i="21" s="1"/>
  <c r="D4" i="23"/>
  <c r="E4" i="21"/>
  <c r="B15" i="9"/>
  <c r="B23" i="12"/>
  <c r="B25" i="11"/>
  <c r="E4" i="4"/>
  <c r="E5" i="8"/>
  <c r="D4" i="14"/>
  <c r="E4" i="3"/>
  <c r="G6" i="8"/>
  <c r="B7" i="8"/>
  <c r="G7" i="8" s="1"/>
  <c r="B8" i="20"/>
  <c r="B7" i="20" s="1"/>
  <c r="I14" i="8"/>
  <c r="I21" i="8" s="1"/>
  <c r="I5" i="8"/>
  <c r="D8" i="8"/>
  <c r="E31" i="6"/>
  <c r="D13" i="20"/>
  <c r="D9" i="20" s="1"/>
  <c r="C18" i="23" s="1"/>
  <c r="C25" i="23"/>
  <c r="D16" i="7"/>
  <c r="C17" i="7"/>
  <c r="C26" i="6"/>
  <c r="J10" i="8"/>
  <c r="D17" i="14"/>
  <c r="D18" i="14" s="1"/>
  <c r="B5" i="14"/>
  <c r="B20" i="14" s="1"/>
  <c r="C5" i="14" s="1"/>
  <c r="B10" i="8"/>
  <c r="G16" i="8" s="1"/>
  <c r="C22" i="2"/>
  <c r="C13" i="2" s="1"/>
  <c r="E14" i="12"/>
  <c r="C19" i="23" l="1"/>
  <c r="C5" i="3"/>
  <c r="J14" i="8"/>
  <c r="J21" i="8" s="1"/>
  <c r="J5" i="8"/>
  <c r="E8" i="8"/>
  <c r="E13" i="20"/>
  <c r="E9" i="20" s="1"/>
  <c r="D18" i="23" s="1"/>
  <c r="D19" i="23" s="1"/>
  <c r="E18" i="4"/>
  <c r="D6" i="14"/>
  <c r="D12" i="14" s="1"/>
  <c r="D19" i="14" s="1"/>
  <c r="D36" i="23" s="1"/>
  <c r="E30" i="19"/>
  <c r="E11" i="3"/>
  <c r="B16" i="9"/>
  <c r="B19" i="9" s="1"/>
  <c r="D25" i="23"/>
  <c r="C22" i="19"/>
  <c r="C33" i="6"/>
  <c r="C27" i="6"/>
  <c r="C28" i="6" s="1"/>
  <c r="B6" i="20"/>
  <c r="B22" i="21"/>
  <c r="B24" i="21" s="1"/>
  <c r="C8" i="20"/>
  <c r="C7" i="20" s="1"/>
  <c r="C7" i="8"/>
  <c r="H7" i="8" s="1"/>
  <c r="C6" i="14"/>
  <c r="C12" i="14" s="1"/>
  <c r="C19" i="14" s="1"/>
  <c r="C36" i="23" s="1"/>
  <c r="D18" i="4"/>
  <c r="E10" i="3" s="1"/>
  <c r="D30" i="19"/>
  <c r="D11" i="3"/>
  <c r="D6" i="3" s="1"/>
  <c r="D5" i="3" s="1"/>
  <c r="E16" i="7"/>
  <c r="E17" i="7" s="1"/>
  <c r="D17" i="7"/>
  <c r="G11" i="8"/>
  <c r="B5" i="23"/>
  <c r="G18" i="8"/>
  <c r="C10" i="8"/>
  <c r="H16" i="8" s="1"/>
  <c r="H18" i="8" s="1"/>
  <c r="C33" i="21" s="1"/>
  <c r="B9" i="8"/>
  <c r="B11" i="8" s="1"/>
  <c r="B5" i="2"/>
  <c r="B39" i="21" s="1"/>
  <c r="B42" i="21" s="1"/>
  <c r="E6" i="3" l="1"/>
  <c r="J6" i="8" s="1"/>
  <c r="I6" i="8"/>
  <c r="H9" i="8"/>
  <c r="C15" i="9" s="1"/>
  <c r="C16" i="9" s="1"/>
  <c r="D25" i="6"/>
  <c r="C16" i="21"/>
  <c r="C31" i="19"/>
  <c r="C34" i="6"/>
  <c r="B26" i="23"/>
  <c r="C23" i="19"/>
  <c r="B24" i="23" s="1"/>
  <c r="C22" i="21"/>
  <c r="C24" i="21" s="1"/>
  <c r="C6" i="20"/>
  <c r="C20" i="14"/>
  <c r="D5" i="14" s="1"/>
  <c r="D20" i="14" s="1"/>
  <c r="D7" i="8"/>
  <c r="I7" i="8" s="1"/>
  <c r="D8" i="20"/>
  <c r="D7" i="20" s="1"/>
  <c r="E8" i="20"/>
  <c r="E7" i="20" s="1"/>
  <c r="E7" i="8"/>
  <c r="J7" i="8" s="1"/>
  <c r="D22" i="2"/>
  <c r="D13" i="2" s="1"/>
  <c r="B18" i="9"/>
  <c r="B17" i="9"/>
  <c r="B28" i="9"/>
  <c r="B27" i="20"/>
  <c r="B25" i="20" s="1"/>
  <c r="C9" i="8"/>
  <c r="C11" i="8" s="1"/>
  <c r="C5" i="2"/>
  <c r="C39" i="21" s="1"/>
  <c r="B25" i="12"/>
  <c r="B33" i="21"/>
  <c r="B36" i="21" s="1"/>
  <c r="B27" i="11"/>
  <c r="G22" i="8"/>
  <c r="E5" i="3" l="1"/>
  <c r="D10" i="8"/>
  <c r="I16" i="8" s="1"/>
  <c r="I18" i="8" s="1"/>
  <c r="D33" i="21" s="1"/>
  <c r="H8" i="8"/>
  <c r="H11" i="8" s="1"/>
  <c r="H22" i="8" s="1"/>
  <c r="C24" i="19"/>
  <c r="C33" i="19"/>
  <c r="C34" i="19"/>
  <c r="E22" i="21"/>
  <c r="E24" i="21" s="1"/>
  <c r="E6" i="20"/>
  <c r="B29" i="23"/>
  <c r="B30" i="23" s="1"/>
  <c r="B32" i="23" s="1"/>
  <c r="B33" i="23" s="1"/>
  <c r="C5" i="23" s="1"/>
  <c r="D6" i="20"/>
  <c r="D22" i="21"/>
  <c r="D24" i="21" s="1"/>
  <c r="D26" i="6"/>
  <c r="E22" i="2"/>
  <c r="E13" i="2" s="1"/>
  <c r="C19" i="9"/>
  <c r="C18" i="9"/>
  <c r="C17" i="9"/>
  <c r="C28" i="9"/>
  <c r="C30" i="9" s="1"/>
  <c r="C29" i="9"/>
  <c r="B29" i="9"/>
  <c r="B30" i="9"/>
  <c r="B26" i="9"/>
  <c r="B23" i="11"/>
  <c r="B29" i="21"/>
  <c r="B30" i="21" s="1"/>
  <c r="B5" i="20"/>
  <c r="D5" i="2"/>
  <c r="D39" i="21" s="1"/>
  <c r="C26" i="9" l="1"/>
  <c r="C32" i="9" s="1"/>
  <c r="D9" i="8"/>
  <c r="D11" i="8" s="1"/>
  <c r="E10" i="8"/>
  <c r="J16" i="8" s="1"/>
  <c r="J18" i="8" s="1"/>
  <c r="E33" i="21" s="1"/>
  <c r="B32" i="9"/>
  <c r="D33" i="6"/>
  <c r="D22" i="19"/>
  <c r="D27" i="6"/>
  <c r="D28" i="6" s="1"/>
  <c r="C34" i="21"/>
  <c r="C35" i="21" s="1"/>
  <c r="B39" i="23"/>
  <c r="B40" i="23" s="1"/>
  <c r="B8" i="12"/>
  <c r="B9" i="12" s="1"/>
  <c r="B14" i="12" s="1"/>
  <c r="C27" i="20"/>
  <c r="C11" i="21"/>
  <c r="C6" i="21" s="1"/>
  <c r="C5" i="21" s="1"/>
  <c r="C27" i="19"/>
  <c r="D10" i="21" s="1"/>
  <c r="E5" i="2"/>
  <c r="E39" i="21" s="1"/>
  <c r="C29" i="21" l="1"/>
  <c r="C30" i="21" s="1"/>
  <c r="C25" i="20"/>
  <c r="E9" i="8"/>
  <c r="E11" i="8" s="1"/>
  <c r="C15" i="11"/>
  <c r="C8" i="11"/>
  <c r="C9" i="11" s="1"/>
  <c r="C14" i="11" s="1"/>
  <c r="C15" i="12"/>
  <c r="E25" i="6"/>
  <c r="D16" i="21"/>
  <c r="I9" i="8"/>
  <c r="D15" i="9" s="1"/>
  <c r="D16" i="9" s="1"/>
  <c r="C41" i="21"/>
  <c r="C42" i="21" s="1"/>
  <c r="C36" i="21"/>
  <c r="C26" i="23"/>
  <c r="D23" i="19"/>
  <c r="C24" i="23" s="1"/>
  <c r="B15" i="11"/>
  <c r="B16" i="11" s="1"/>
  <c r="B15" i="12"/>
  <c r="B16" i="12" s="1"/>
  <c r="B8" i="11"/>
  <c r="B9" i="11" s="1"/>
  <c r="B14" i="11" s="1"/>
  <c r="D31" i="19"/>
  <c r="D34" i="6"/>
  <c r="C16" i="20" l="1"/>
  <c r="C5" i="20" s="1"/>
  <c r="C16" i="11"/>
  <c r="C17" i="11" s="1"/>
  <c r="C16" i="12"/>
  <c r="B17" i="12"/>
  <c r="D24" i="19"/>
  <c r="D11" i="21" s="1"/>
  <c r="D6" i="21" s="1"/>
  <c r="D19" i="9"/>
  <c r="D28" i="9"/>
  <c r="D30" i="9" s="1"/>
  <c r="D18" i="9"/>
  <c r="D17" i="9"/>
  <c r="D29" i="9"/>
  <c r="C29" i="23"/>
  <c r="C30" i="23" s="1"/>
  <c r="C32" i="23" s="1"/>
  <c r="C33" i="23" s="1"/>
  <c r="D33" i="19"/>
  <c r="D34" i="19"/>
  <c r="E26" i="6"/>
  <c r="B17" i="11"/>
  <c r="I8" i="8"/>
  <c r="I11" i="8" s="1"/>
  <c r="I22" i="8" s="1"/>
  <c r="C8" i="12" s="1"/>
  <c r="C9" i="12" s="1"/>
  <c r="C14" i="12" s="1"/>
  <c r="D26" i="9" l="1"/>
  <c r="D32" i="9" s="1"/>
  <c r="C17" i="12"/>
  <c r="D27" i="19"/>
  <c r="E10" i="21" s="1"/>
  <c r="D5" i="23"/>
  <c r="D27" i="20"/>
  <c r="D25" i="20" s="1"/>
  <c r="D16" i="20" s="1"/>
  <c r="E33" i="6"/>
  <c r="E27" i="6"/>
  <c r="E28" i="6" s="1"/>
  <c r="E22" i="19"/>
  <c r="D34" i="21"/>
  <c r="D35" i="21" s="1"/>
  <c r="C39" i="23"/>
  <c r="C40" i="23" s="1"/>
  <c r="D5" i="21"/>
  <c r="D15" i="12" l="1"/>
  <c r="D16" i="12" s="1"/>
  <c r="D8" i="11"/>
  <c r="D9" i="11" s="1"/>
  <c r="D14" i="11" s="1"/>
  <c r="D15" i="11"/>
  <c r="D16" i="11" s="1"/>
  <c r="D41" i="21"/>
  <c r="D42" i="21" s="1"/>
  <c r="D36" i="21"/>
  <c r="D26" i="23"/>
  <c r="E23" i="19"/>
  <c r="D24" i="23" s="1"/>
  <c r="D29" i="21"/>
  <c r="D30" i="21" s="1"/>
  <c r="D5" i="20"/>
  <c r="E16" i="21"/>
  <c r="J9" i="8"/>
  <c r="E15" i="9" s="1"/>
  <c r="E31" i="19"/>
  <c r="E34" i="6"/>
  <c r="J8" i="8" s="1"/>
  <c r="D17" i="11" l="1"/>
  <c r="B21" i="11" s="1"/>
  <c r="D29" i="23"/>
  <c r="D30" i="23" s="1"/>
  <c r="D32" i="23" s="1"/>
  <c r="D33" i="23" s="1"/>
  <c r="E27" i="20" s="1"/>
  <c r="E25" i="20" s="1"/>
  <c r="E16" i="20" s="1"/>
  <c r="E16" i="9"/>
  <c r="E24" i="19"/>
  <c r="J11" i="8"/>
  <c r="J22" i="8" s="1"/>
  <c r="D8" i="12" s="1"/>
  <c r="D9" i="12" s="1"/>
  <c r="D14" i="12" s="1"/>
  <c r="D17" i="12" s="1"/>
  <c r="B21" i="12" s="1"/>
  <c r="E33" i="19"/>
  <c r="E29" i="21" l="1"/>
  <c r="E30" i="21" s="1"/>
  <c r="E5" i="20"/>
  <c r="E34" i="21"/>
  <c r="E35" i="21" s="1"/>
  <c r="D39" i="23"/>
  <c r="D40" i="23" s="1"/>
  <c r="E34" i="19"/>
  <c r="E27" i="19"/>
  <c r="E11" i="21"/>
  <c r="E6" i="21" s="1"/>
  <c r="E5" i="21" s="1"/>
  <c r="E28" i="9"/>
  <c r="E30" i="9" s="1"/>
  <c r="E18" i="9"/>
  <c r="E17" i="9"/>
  <c r="E19" i="9"/>
  <c r="E26" i="9" l="1"/>
  <c r="E29" i="9"/>
  <c r="E41" i="21"/>
  <c r="E42" i="21" s="1"/>
  <c r="E36" i="21"/>
  <c r="E32" i="9" l="1"/>
  <c r="E15" i="11" s="1"/>
  <c r="E15" i="12"/>
  <c r="B19" i="12" s="1"/>
  <c r="B20" i="12" s="1"/>
  <c r="B22" i="12" s="1"/>
  <c r="B24" i="12" s="1"/>
  <c r="B26" i="12" s="1"/>
  <c r="E8" i="11"/>
  <c r="E9" i="11" s="1"/>
  <c r="E14" i="11" s="1"/>
  <c r="B19" i="11" l="1"/>
  <c r="B20" i="11" s="1"/>
  <c r="B22" i="11" s="1"/>
  <c r="B24" i="11" s="1"/>
  <c r="B26" i="11" s="1"/>
  <c r="B28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Miloš Mařík</author>
  </authors>
  <commentList>
    <comment ref="B5" authorId="0" shapeId="0" xr:uid="{00000000-0006-0000-0E00-000001000000}">
      <text>
        <r>
          <rPr>
            <b/>
            <sz val="9"/>
            <color indexed="81"/>
            <rFont val="Tahoma"/>
            <family val="2"/>
            <charset val="238"/>
          </rPr>
          <t>Miloš Mařík:</t>
        </r>
        <r>
          <rPr>
            <sz val="9"/>
            <color indexed="81"/>
            <rFont val="Tahoma"/>
            <family val="2"/>
            <charset val="238"/>
          </rPr>
          <t xml:space="preserve">
Ke stavu peněz ke konci roku 2022 je oproti původní rozvaze potřeba přičíst korekci daně. Pokud předpokládáme, že korekce výsledku hospodaření za rok 2022 jsou daňově účinné, byla by placená daň o tuto částku jiná. V našem případě se jedná zejména a daňovou úsporu z nákladů na pronajaté automobily (leasing v původních výkazech nebyl zachycen vůbec).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Miloš Mařík</author>
  </authors>
  <commentList>
    <comment ref="B27" authorId="0" shapeId="0" xr:uid="{00000000-0006-0000-0F00-000001000000}">
      <text>
        <r>
          <rPr>
            <b/>
            <sz val="9"/>
            <color indexed="81"/>
            <rFont val="Tahoma"/>
            <family val="2"/>
            <charset val="238"/>
          </rPr>
          <t>Miloš Mařík:</t>
        </r>
        <r>
          <rPr>
            <sz val="9"/>
            <color indexed="81"/>
            <rFont val="Tahoma"/>
            <family val="2"/>
            <charset val="238"/>
          </rPr>
          <t xml:space="preserve">
Viz poznámka na listu Cash flow upravené u počátečního stavu nenutných peněz na začátku prvního roku plánu.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Miloš Mařík</author>
  </authors>
  <commentList>
    <comment ref="A11" authorId="0" shapeId="0" xr:uid="{00000000-0006-0000-1000-000001000000}">
      <text>
        <r>
          <rPr>
            <b/>
            <sz val="9"/>
            <color indexed="81"/>
            <rFont val="Tahoma"/>
            <family val="2"/>
            <charset val="238"/>
          </rPr>
          <t>Miloš Mařík:</t>
        </r>
        <r>
          <rPr>
            <sz val="9"/>
            <color indexed="81"/>
            <rFont val="Tahoma"/>
            <family val="2"/>
            <charset val="238"/>
          </rPr>
          <t xml:space="preserve">
VH včetně úprav provedených pro účely výpočtu EVA</t>
        </r>
      </text>
    </comment>
    <comment ref="A35" authorId="0" shapeId="0" xr:uid="{00000000-0006-0000-1000-000002000000}">
      <text>
        <r>
          <rPr>
            <b/>
            <sz val="9"/>
            <color indexed="81"/>
            <rFont val="Tahoma"/>
            <family val="2"/>
            <charset val="238"/>
          </rPr>
          <t>Miloš Mařík:</t>
        </r>
        <r>
          <rPr>
            <sz val="9"/>
            <color indexed="81"/>
            <rFont val="Tahoma"/>
            <family val="2"/>
            <charset val="238"/>
          </rPr>
          <t xml:space="preserve">
Vzhledem k tomu, že po úpravách o marketing a leasing počítáme daň zjednodušeným způsobem jako součin NOPBT a daňové sazby, předpokládáme tím vlastně, že jsou tyto úpravy daňově účinné. Placená daň a tím i výdaje by v každém roce byly o tuto korekci jiné, než předpokládaly původní výkazy. Stav peněz (neprovozních) se liší o kumulovanou výši těchto korekcí.
Neprovozní peníze uvedené v základní části přikladu tedy nemají zcela správnou výši, nyní byly dopočteny přesněji.
Ještě přesnější by však bylo počítat daň z NOPAT skutečně jen z daňově účinných nákladů a nikoli mechanicky. Pak by se pravděpodobně stav peněz v upravené rozvaze oproti původní nelišil.</t>
        </r>
      </text>
    </comment>
  </commentList>
</comments>
</file>

<file path=xl/sharedStrings.xml><?xml version="1.0" encoding="utf-8"?>
<sst xmlns="http://schemas.openxmlformats.org/spreadsheetml/2006/main" count="431" uniqueCount="311">
  <si>
    <t>®</t>
  </si>
  <si>
    <t>rok</t>
  </si>
  <si>
    <t>Finanční investice</t>
  </si>
  <si>
    <t>Krátkod. fin. majetek</t>
  </si>
  <si>
    <t>Dluhopisy</t>
  </si>
  <si>
    <t>Bankovní úvěr</t>
  </si>
  <si>
    <t>AKTIVA</t>
  </si>
  <si>
    <t>AKTIVA CELKEM</t>
  </si>
  <si>
    <t>B.II Dlouhodobý hmotný majetek</t>
  </si>
  <si>
    <t>B.III Dlouhodobý finanční majetek</t>
  </si>
  <si>
    <t>C. OBĚŽNÁ AKTIVA</t>
  </si>
  <si>
    <t>C.I   Zásoby</t>
  </si>
  <si>
    <t xml:space="preserve">         Ostatní krátkodobé pohledávky</t>
  </si>
  <si>
    <t>PASIVA</t>
  </si>
  <si>
    <t>PASIVA CELKEM</t>
  </si>
  <si>
    <t>A. VLASTNÍ KAPITÁL</t>
  </si>
  <si>
    <t>A.I      Základní kapitál</t>
  </si>
  <si>
    <t>A.IV.1 Nerozdělený zisk minulých let</t>
  </si>
  <si>
    <t>Daň ze zisku:</t>
  </si>
  <si>
    <t>POLOŽKA</t>
  </si>
  <si>
    <t>Odpisy</t>
  </si>
  <si>
    <t>Výnosy z finančního majetku</t>
  </si>
  <si>
    <t>Nákladové úroky</t>
  </si>
  <si>
    <t xml:space="preserve">Daň </t>
  </si>
  <si>
    <t>Dividendy (návrh)</t>
  </si>
  <si>
    <t>Příděl do nerozděleného zisku</t>
  </si>
  <si>
    <t>DOPLŇKOVÉ INFORMACE PRO ÚPRAVY ROZVAHY A VÝSLEDOVKY</t>
  </si>
  <si>
    <t>značné prostředky na otevření nových trhů. Obdobné náklady plánuje ještě</t>
  </si>
  <si>
    <t>na příští rok.</t>
  </si>
  <si>
    <t>Z hlediska hodnocení efektivnosti jsou považovány za nehmotné aktivum.</t>
  </si>
  <si>
    <t>FINANČNÍ LEASING - podklady pro úpravu finančních výkazů</t>
  </si>
  <si>
    <t>Společnost pořídila park nákladních automobilů na finanční leasing.</t>
  </si>
  <si>
    <t>Běžná prodejní cena automobilů celkem:</t>
  </si>
  <si>
    <t>tis. Kč</t>
  </si>
  <si>
    <t>Hodnota ročních leasingových splátek (vždy k 31. 12.):</t>
  </si>
  <si>
    <t>Odkupní cena na konci třetího roku (navíc k poslední splátce)</t>
  </si>
  <si>
    <t>Využití automobilů v podniku se plánuje na 4 roky, opotřebení bude lineární.</t>
  </si>
  <si>
    <t>Výpočet implicitní úrokové míry:</t>
  </si>
  <si>
    <t>Implicitní úroková míra</t>
  </si>
  <si>
    <t>Podklady pro úpravu rozvahy a výsledovky:</t>
  </si>
  <si>
    <t>Leasingový závazek na začátku roku</t>
  </si>
  <si>
    <t>Úrok</t>
  </si>
  <si>
    <t>Snížení závazku</t>
  </si>
  <si>
    <t>Leasingový závazek na konci roku</t>
  </si>
  <si>
    <t>Zůstatková hodnota pronajatého majetku k 31. 12.</t>
  </si>
  <si>
    <t>MARKETINGOVÉ VÝDAJE - podklady pro úpravu finančních výkazů</t>
  </si>
  <si>
    <t>efektivnosti jsou tyto výdaje považovány za nehmotné aktivum. Výdaje budou odepisovány</t>
  </si>
  <si>
    <t>vždy po dobu 3 let.</t>
  </si>
  <si>
    <t>Roční marketingové výdaje (náklady)</t>
  </si>
  <si>
    <t>Roční odpis celkem</t>
  </si>
  <si>
    <t>Kumulované výdaje</t>
  </si>
  <si>
    <t>Kumulované odpisy</t>
  </si>
  <si>
    <t>Rozvaha upravená o položky účetně nevykazované</t>
  </si>
  <si>
    <t>Vlastní kapitál účetní</t>
  </si>
  <si>
    <t>Pracovní kapitál</t>
  </si>
  <si>
    <t>Úročený cizí kapitál z účetní rozvahy</t>
  </si>
  <si>
    <t>Celkem</t>
  </si>
  <si>
    <t>Provozně nenutný majetek celkem</t>
  </si>
  <si>
    <t>WACC - PRŮMĚRNÉ VÁŽENÉ NÁKLADY KAPITÁLU</t>
  </si>
  <si>
    <r>
      <t>Předpoklady:</t>
    </r>
    <r>
      <rPr>
        <sz val="12"/>
        <rFont val="Times New Roman CE"/>
        <charset val="238"/>
      </rPr>
      <t xml:space="preserve">  - účetní hodnota cizího kapitálu odpovídá tržní hodnotě (včetně dluhopisů)</t>
    </r>
  </si>
  <si>
    <t xml:space="preserve">                        - odhad nákladů vlastního kapitálu:</t>
  </si>
  <si>
    <t>Očekávaná cena 1 akcie na kapitálovém trhu (Kč)</t>
  </si>
  <si>
    <t>Počet akcií (tis. ks)</t>
  </si>
  <si>
    <t>CIZÍ KAPITÁL</t>
  </si>
  <si>
    <t>Dluhopisy                                   (k počátku roku)</t>
  </si>
  <si>
    <t>Bankovní úvěry                           (k počátku roku)</t>
  </si>
  <si>
    <t>Závazky z leasingu                      (k počátku roku)</t>
  </si>
  <si>
    <t>Cizí kapitál celkem                   (k počátku roku)</t>
  </si>
  <si>
    <t xml:space="preserve">                                                   - bankovní úvěry</t>
  </si>
  <si>
    <t xml:space="preserve">                                                   - leasing</t>
  </si>
  <si>
    <t>Úroky po dani                            - dluhopisy</t>
  </si>
  <si>
    <t>Průměrné náklady cizího kapitálu po dani</t>
  </si>
  <si>
    <t>VLASTNÍ KAPITÁL</t>
  </si>
  <si>
    <t>Tržní hodnota vlast. kapitálu  (k počátku roku)</t>
  </si>
  <si>
    <t>Náklady vlastního kapitálu</t>
  </si>
  <si>
    <t>STRUKTURA KAPITÁLU</t>
  </si>
  <si>
    <t>Tržní hodnota kapitálu celkem</t>
  </si>
  <si>
    <t>Podíl cizího kapitálu</t>
  </si>
  <si>
    <t>Podíl vlastního kapitálu</t>
  </si>
  <si>
    <t>WACC</t>
  </si>
  <si>
    <r>
      <t xml:space="preserve">Propočet zisku pro ekonomickou přidanou hodnotu </t>
    </r>
    <r>
      <rPr>
        <b/>
        <sz val="10"/>
        <color indexed="12"/>
        <rFont val="Times New Roman CE"/>
        <family val="1"/>
        <charset val="238"/>
      </rPr>
      <t>(NOPAT - net operating profit after tax)</t>
    </r>
  </si>
  <si>
    <t>neprojeví dopady leasingu a aktivovaných marketingových výdajů.</t>
  </si>
  <si>
    <t>Daň</t>
  </si>
  <si>
    <t>EVA (tis. Kč)</t>
  </si>
  <si>
    <t>1. fáze</t>
  </si>
  <si>
    <t>EVA</t>
  </si>
  <si>
    <r>
      <t>Odúročitel</t>
    </r>
    <r>
      <rPr>
        <i/>
        <sz val="12"/>
        <rFont val="Times New Roman CE"/>
        <charset val="238"/>
      </rPr>
      <t xml:space="preserve"> (pro každý rok platí jiná disk. míra!)</t>
    </r>
  </si>
  <si>
    <t>Současná hodnota ročních EVA</t>
  </si>
  <si>
    <t>Pokračující hodnota</t>
  </si>
  <si>
    <t>Současná hodnota pokračující hodnoty</t>
  </si>
  <si>
    <t>Současná hodnota 1 fáze</t>
  </si>
  <si>
    <t>MVA</t>
  </si>
  <si>
    <t>Výnosová hodnota brutto</t>
  </si>
  <si>
    <t>Výnosová hodnota netto</t>
  </si>
  <si>
    <t>Výsledná výnosová hodnota vlastního kapitálu</t>
  </si>
  <si>
    <t>VH za účetní období</t>
  </si>
  <si>
    <t>Ostatní majetek, který není nutný k provozu</t>
  </si>
  <si>
    <t>Provozně potřebná výše peněžních prostředků</t>
  </si>
  <si>
    <t>Nadbytečná výše peněžních prostředků</t>
  </si>
  <si>
    <t>Dlouhodobé i krátkodobé nakoupené cenné papíry (slouží jako uložení peněz).</t>
  </si>
  <si>
    <t>Provozně nutná výše peněžních prostředků</t>
  </si>
  <si>
    <t xml:space="preserve">odpovídá hodnotě okamžité likvidity </t>
  </si>
  <si>
    <t>(tj. peníze a účty u bank / krátkodobé závazky)</t>
  </si>
  <si>
    <t>Předpokládá se, že výše majetku a výsledků hospodaření se dlouhodobě</t>
  </si>
  <si>
    <t xml:space="preserve">                        - sazba daně z příjmů pro plán:</t>
  </si>
  <si>
    <t>NOPAT</t>
  </si>
  <si>
    <t>Investice netto</t>
  </si>
  <si>
    <t>FCFF</t>
  </si>
  <si>
    <t>Současná hodnota FCFF</t>
  </si>
  <si>
    <t>Z toho peníze:</t>
  </si>
  <si>
    <t>Provozní výsledek hospodaření z výsledovky</t>
  </si>
  <si>
    <t>Výkonová spotřeba</t>
  </si>
  <si>
    <t>Osobní náklady</t>
  </si>
  <si>
    <t>Provozní výsledek hospodaření</t>
  </si>
  <si>
    <t>Finanční výsledek hospodaření</t>
  </si>
  <si>
    <t>Výsledek hospodaření za úč. období</t>
  </si>
  <si>
    <t>Změna zásob</t>
  </si>
  <si>
    <t>Změna pohledávek</t>
  </si>
  <si>
    <t>Změna krátkodobých závazků</t>
  </si>
  <si>
    <t>Provozní cash flow</t>
  </si>
  <si>
    <t>Investice do dlouhodobého majetku</t>
  </si>
  <si>
    <t>Investiční cash flow</t>
  </si>
  <si>
    <t>Výplaty dividend</t>
  </si>
  <si>
    <t>Změna bankovních úvěrů a dluhopisů</t>
  </si>
  <si>
    <t>Finanční cash flow</t>
  </si>
  <si>
    <t>Peněžní prostředky k začátku roku</t>
  </si>
  <si>
    <t>Peněžní prostředky ke konci roku</t>
  </si>
  <si>
    <t>Celkové cash flow</t>
  </si>
  <si>
    <t>Změna krátkodobých cenných papírů</t>
  </si>
  <si>
    <t>Tržby z prodeje investičního majetku</t>
  </si>
  <si>
    <t>ROZVAHA SPOLEČNOSTI DELTA, A.S. (tis. Kč) - údaje k 31. 12.</t>
  </si>
  <si>
    <t>VÝSLEDOVKA SPOLEČNOSTI DELTA, A.S. (tis. Kč)</t>
  </si>
  <si>
    <t>VÝKAZ CASH FLOW SPOLEČNOSTI DELTA, A.S. (tis. Kč)</t>
  </si>
  <si>
    <t>Aktivovaný marketing</t>
  </si>
  <si>
    <t>Ekvivalenty VK</t>
  </si>
  <si>
    <t>Marketing - výdaje vrátit</t>
  </si>
  <si>
    <t>Marketing - odpisy započítat</t>
  </si>
  <si>
    <t>Leasing</t>
  </si>
  <si>
    <t>Leasingový závazek</t>
  </si>
  <si>
    <t>HV z leasingu kumul</t>
  </si>
  <si>
    <t>Odpisy z leasingu</t>
  </si>
  <si>
    <t>Podíl složek cizího kapitálu          - dluhopisy</t>
  </si>
  <si>
    <r>
      <t>na</t>
    </r>
    <r>
      <rPr>
        <b/>
        <sz val="12"/>
        <rFont val="Times New Roman CE"/>
        <charset val="238"/>
      </rPr>
      <t xml:space="preserve"> finanční leasing</t>
    </r>
    <r>
      <rPr>
        <sz val="12"/>
        <rFont val="Times New Roman CE"/>
        <charset val="238"/>
      </rPr>
      <t>. Tyto automobily zatím ve výkazech nejsou uvedeny.</t>
    </r>
  </si>
  <si>
    <r>
      <t xml:space="preserve">Společnost Delta v minulém roce vynaložila v rámci </t>
    </r>
    <r>
      <rPr>
        <b/>
        <sz val="12"/>
        <rFont val="Times New Roman CE"/>
        <charset val="238"/>
      </rPr>
      <t>marketingových výdajů</t>
    </r>
  </si>
  <si>
    <r>
      <t xml:space="preserve">Informace o </t>
    </r>
    <r>
      <rPr>
        <b/>
        <sz val="12"/>
        <rFont val="Times New Roman CE"/>
        <family val="1"/>
        <charset val="238"/>
      </rPr>
      <t>majetku, který není nutný k provozu</t>
    </r>
    <r>
      <rPr>
        <sz val="12"/>
        <rFont val="Times New Roman CE"/>
        <charset val="238"/>
      </rPr>
      <t>:</t>
    </r>
  </si>
  <si>
    <t>Společnost Delta vynaloží značné prostředky na otevření nových trhů. Z hlediska hodnocení</t>
  </si>
  <si>
    <t>Tržní</t>
  </si>
  <si>
    <t>cena</t>
  </si>
  <si>
    <t>Platby za leasing</t>
  </si>
  <si>
    <t>Peněžní tok spojený s leasingem</t>
  </si>
  <si>
    <t>a) Splátkový kalendář (umořovací plán):</t>
  </si>
  <si>
    <t>b) Podklady pro úpravu aktiv:</t>
  </si>
  <si>
    <t>Nové náklady leasingu: odpisy a úroky (úprava VH)</t>
  </si>
  <si>
    <t>Úprava VH v pasivech - kumulovaně</t>
  </si>
  <si>
    <t>c) Podklady pro úpravu výsledku hospodaření ve výsledovce a v pasivech:</t>
  </si>
  <si>
    <t>V původních účetních výkazech leasing vůbec není.</t>
  </si>
  <si>
    <t>NOPBT (čistý operační zisk před daní)</t>
  </si>
  <si>
    <t>Výpočet kapitálu investovaného do provozně nenutného majetku (neoperační aktiva)</t>
  </si>
  <si>
    <t>NOA (čistá operační aktiva)</t>
  </si>
  <si>
    <t>NOPAT (čistý operační zisk po dani)</t>
  </si>
  <si>
    <t>Nominální výše úroků                  - dluhopisy</t>
  </si>
  <si>
    <t>EKONOMICKÁ PŘIDANÁ HODNOTA</t>
  </si>
  <si>
    <t>a) Roční ekonomická přidaná hodnota (entity)</t>
  </si>
  <si>
    <t>b) Ocenění podniku na základě ekonomické přidané hodnoty (entity)</t>
  </si>
  <si>
    <t>2. fáze</t>
  </si>
  <si>
    <r>
      <t>NOPAT</t>
    </r>
    <r>
      <rPr>
        <vertAlign val="subscript"/>
        <sz val="12"/>
        <rFont val="Times New Roman CE"/>
        <family val="1"/>
        <charset val="238"/>
      </rPr>
      <t>t</t>
    </r>
  </si>
  <si>
    <r>
      <t>Náklady investovaného kapitálu (WACC</t>
    </r>
    <r>
      <rPr>
        <vertAlign val="subscript"/>
        <sz val="12"/>
        <rFont val="Times New Roman CE"/>
        <family val="1"/>
        <charset val="238"/>
      </rPr>
      <t>t</t>
    </r>
    <r>
      <rPr>
        <sz val="12"/>
        <rFont val="Times New Roman CE"/>
        <charset val="238"/>
      </rPr>
      <t>*NOA</t>
    </r>
    <r>
      <rPr>
        <vertAlign val="subscript"/>
        <sz val="12"/>
        <rFont val="Times New Roman CE"/>
        <family val="1"/>
        <charset val="238"/>
      </rPr>
      <t>t-1</t>
    </r>
    <r>
      <rPr>
        <sz val="12"/>
        <rFont val="Times New Roman CE"/>
        <charset val="238"/>
      </rPr>
      <t>)</t>
    </r>
  </si>
  <si>
    <t>NOA k datu ocenění</t>
  </si>
  <si>
    <t>Úročený cizí kapitál celkem k datu ocenění</t>
  </si>
  <si>
    <t>PENĚŽNÍ TOKY</t>
  </si>
  <si>
    <t>a) Volné peněžní toky (entity)</t>
  </si>
  <si>
    <t>b) Ocenění podniku na základě DCF (entity)</t>
  </si>
  <si>
    <t>Leasing - auta</t>
  </si>
  <si>
    <t>NOA (tis. Kč, k 31. 12.)</t>
  </si>
  <si>
    <t xml:space="preserve">Čistá operační aktiva </t>
  </si>
  <si>
    <t>NOPAT (tis. Kč)</t>
  </si>
  <si>
    <t>Podnik Delta, a.s. má být ohodnocen ukazatelem EVA a oceněn jednak metodou založenou</t>
  </si>
  <si>
    <t>na EVA, jednak metodou DCF.</t>
  </si>
  <si>
    <t xml:space="preserve">Po klepnutí na buňky s vypočítanou hodnotou v jednotlivých tabulkách je možné prohlédnout si </t>
  </si>
  <si>
    <t>Klepnutím na název listu v obsahu se seznamem listů lze rychle přejít na požadovanou část příkladu.</t>
  </si>
  <si>
    <t>V pravém horním rohu každého listu je pak hypertextový odkaz "Skok na obsah", na který je možné</t>
  </si>
  <si>
    <t>klepnout a rychle se tak vrátit na tento výchozí list s obsahem.</t>
  </si>
  <si>
    <t>Číslo a název listu</t>
  </si>
  <si>
    <t>Komentář</t>
  </si>
  <si>
    <t>Aktiva</t>
  </si>
  <si>
    <t>Pasiva</t>
  </si>
  <si>
    <t>Výsledovka</t>
  </si>
  <si>
    <t>Cash flow</t>
  </si>
  <si>
    <t>Informace</t>
  </si>
  <si>
    <t>Zadání příkladu</t>
  </si>
  <si>
    <t>Přípravné výpočty</t>
  </si>
  <si>
    <t>Hlavní výsledky</t>
  </si>
  <si>
    <t>Marketing</t>
  </si>
  <si>
    <t>NOA</t>
  </si>
  <si>
    <t>DCF</t>
  </si>
  <si>
    <t>Účetní výkazy za jeden minulý rok a tři roky plánu</t>
  </si>
  <si>
    <t>Doplňkové informace</t>
  </si>
  <si>
    <t>Aktivace nákladů s povahou investic - příprava</t>
  </si>
  <si>
    <t>Automobily na leasing - příprava</t>
  </si>
  <si>
    <t>Úprava rozvahy na ekonomický model</t>
  </si>
  <si>
    <t>Úprava výsledovky na ekonomický model</t>
  </si>
  <si>
    <t>Průměrné vážené náklady kapitálu</t>
  </si>
  <si>
    <t>Výpočet EVA a ocenění metodou EVA</t>
  </si>
  <si>
    <t>Skok na obsah</t>
  </si>
  <si>
    <r>
      <t xml:space="preserve">Zůstatková hodnota marketing. výdajů  k 31. 12.   </t>
    </r>
    <r>
      <rPr>
        <sz val="11"/>
        <rFont val="Times New Roman CE"/>
        <family val="1"/>
        <charset val="238"/>
      </rPr>
      <t>(kumul. výdaje - kumul. odpisy)</t>
    </r>
  </si>
  <si>
    <t>Provozně nepotřebný majetek k datu ocenění</t>
  </si>
  <si>
    <t>A) HLAVNÍ PROVOZ</t>
  </si>
  <si>
    <t>Marketing - výdaje z nákladů vyňaté</t>
  </si>
  <si>
    <t>Marketing - odpisy do nákladů započítané</t>
  </si>
  <si>
    <t>Odpisy z leasingu - přidáno do nákladů</t>
  </si>
  <si>
    <t>Daň připadající na operační zisk</t>
  </si>
  <si>
    <t xml:space="preserve">Daň z ostatních činností (mimo NOPAT) </t>
  </si>
  <si>
    <t>VH za účetní období z původní výsledovky</t>
  </si>
  <si>
    <t>B) VH Z PROVOZNĚ NEPOTŘEBNÉHO MAJETKU</t>
  </si>
  <si>
    <t>VH z neprotřebného majetku</t>
  </si>
  <si>
    <t>C) FINANČNÍ NÁKLADY, DAŇ Z OSTATNÍCH ČINNOSTÍ, CELKOVÝ VH</t>
  </si>
  <si>
    <t>Nákladové úroky z původní výsledovky</t>
  </si>
  <si>
    <t>Nákladové úroky z leasingu</t>
  </si>
  <si>
    <t>Náklady na leasing (odpisy, úroky)</t>
  </si>
  <si>
    <t>Korekce o marketing</t>
  </si>
  <si>
    <t>Kontrola rozdílů oproti původní výsledovce</t>
  </si>
  <si>
    <t>Odpisy z původní výsledovky</t>
  </si>
  <si>
    <t>Odpisy z marketingu</t>
  </si>
  <si>
    <t xml:space="preserve">     Aktivované náklady na marketing</t>
  </si>
  <si>
    <t>B.III Dlouhodobý finanční majetek - nenutný</t>
  </si>
  <si>
    <t>Investice do provozního DHM vč.leasingu</t>
  </si>
  <si>
    <t>Změna leasingového závazku</t>
  </si>
  <si>
    <t>B) NEPROVOZNÍ MAJETEK</t>
  </si>
  <si>
    <t>Cash flow z neprovozního majetku</t>
  </si>
  <si>
    <t>C) FINANČNÍ ČINNOST A KOREKCE DANĚ</t>
  </si>
  <si>
    <t>Korekce daně oproti dani z NOPAT</t>
  </si>
  <si>
    <t>Cash flow z finanční činnosti</t>
  </si>
  <si>
    <t>D) CELKOVÉ CASH FLOW</t>
  </si>
  <si>
    <t>Změna nutných peněz</t>
  </si>
  <si>
    <t>Peněžní prostředky k začátku roku nenutné</t>
  </si>
  <si>
    <t>Peněžní prostředky ke konci roku nenutné</t>
  </si>
  <si>
    <t>Původní CF celkové</t>
  </si>
  <si>
    <t>Výdaje na leasing</t>
  </si>
  <si>
    <t>Korekce daně</t>
  </si>
  <si>
    <t>Upravené CF celkové</t>
  </si>
  <si>
    <t>Nákladové úroky původní</t>
  </si>
  <si>
    <t>Výpočet NOA (tis. Kč) - údaje k 31. 12.</t>
  </si>
  <si>
    <t>Provozně nutný dlouhodobý majetek</t>
  </si>
  <si>
    <t>Provozně nutný pracovní kapitál</t>
  </si>
  <si>
    <t>UPRAVENÁ ROZVAHA (tis. Kč) - údaje k 31. 12.</t>
  </si>
  <si>
    <t>Příklad strukturovaných výkazů rozdělených na hlavní provoz a ostatní části pro účely metody EVA</t>
  </si>
  <si>
    <t>UPRAVENÁ VÝSLEDOVKA (tis. Kč)</t>
  </si>
  <si>
    <t>Sazba daně ze zisku</t>
  </si>
  <si>
    <t>VH za účetní období (vč. leasingu a marketingu)</t>
  </si>
  <si>
    <t>VH původní vč. leasingu a marketingu</t>
  </si>
  <si>
    <t>Korekce daně celkem (tj. daň. sazba x saldo úprav)</t>
  </si>
  <si>
    <t>Investice do provozního DNM (marketing)</t>
  </si>
  <si>
    <t>Kontrola rozdílů oproti původnímu výkazu cash flow</t>
  </si>
  <si>
    <t>Cash flow z hlavního provozu (FCFF)</t>
  </si>
  <si>
    <t>Neprovozní majetek (tis. Kč) - údaje k 31. 12.</t>
  </si>
  <si>
    <t>Dlouhodobý finanční majetek</t>
  </si>
  <si>
    <t>Krátkodobé cenné papíry</t>
  </si>
  <si>
    <t>Neprovozní majetek celkem</t>
  </si>
  <si>
    <t>Původní neprovozní majetek z listu 8 NOA</t>
  </si>
  <si>
    <t>Korekce o daň z úprav VH</t>
  </si>
  <si>
    <t>Kumulovaná korekce o daň z úprav VH</t>
  </si>
  <si>
    <t>Neprovozní majetek z upravené rozvahy</t>
  </si>
  <si>
    <t xml:space="preserve">Kontrola rozdílů oproti původnímu neprovoznímu majetku </t>
  </si>
  <si>
    <t>Kontrola rozdílů oproti původní bilanční sumě</t>
  </si>
  <si>
    <t>Původní bilanční suma</t>
  </si>
  <si>
    <t>Kumulované platby leasingové společnosti</t>
  </si>
  <si>
    <t>UPRAVENÝ VÝKAZ CASH FLOW (tis. Kč)</t>
  </si>
  <si>
    <t>Výpočet FCFF a ocenění metodou DCF</t>
  </si>
  <si>
    <t>Upravené finanční výkazy</t>
  </si>
  <si>
    <t>Příklad finančních výkazů (tedy finačního plánu), které jsou rozdělené na hlavní provoz a ostatní části a zároveň již přímo obsahují důležité veličiny pro ocenění podniku metodou EVA/MVA</t>
  </si>
  <si>
    <t>v řádku vzorců způsob výpočtu dané hodnoty. V několika případech jsou u buněk i poznámky</t>
  </si>
  <si>
    <t>(viz červený roh buňky s poznámkou).</t>
  </si>
  <si>
    <t>Příklad</t>
  </si>
  <si>
    <t>METODY OCEŇOVÁNÍ PODNIKU PRO POKROČILÉ</t>
  </si>
  <si>
    <t>KOMPLEXNÍ PŘÍKLAD NA METODU EVA ENTITY</t>
  </si>
  <si>
    <t>Strana publikace: 99</t>
  </si>
  <si>
    <t>Mařík Miloš a kol.:</t>
  </si>
  <si>
    <t>© Miloš Mařík, Pavla Maříková</t>
  </si>
  <si>
    <t>Dlouh.maj. účetní</t>
  </si>
  <si>
    <t>B. STÁLÁ AKTIVA</t>
  </si>
  <si>
    <t xml:space="preserve">     1.1 Pozemky</t>
  </si>
  <si>
    <t xml:space="preserve">     1.2 Stavby</t>
  </si>
  <si>
    <t xml:space="preserve">     2.   Hmotné movité věci </t>
  </si>
  <si>
    <t xml:space="preserve">     5. Ostatní dl. cenné papíry a podíly</t>
  </si>
  <si>
    <t xml:space="preserve">     1.   Materiál</t>
  </si>
  <si>
    <t xml:space="preserve">     2.   Nedokončená výroba</t>
  </si>
  <si>
    <t xml:space="preserve">     3.1 Výrobky</t>
  </si>
  <si>
    <t xml:space="preserve">     2.1 Pohledávky z obchodních vztahů</t>
  </si>
  <si>
    <t xml:space="preserve">           Ostatní krátkodobé pohledávky</t>
  </si>
  <si>
    <t>C.III Krátkodobý finanční majetek</t>
  </si>
  <si>
    <t>C.IV Peněžní prostředky</t>
  </si>
  <si>
    <t>C.II.2 Krátkodobé pohledávky</t>
  </si>
  <si>
    <t>A.V     VH běžného účetního období</t>
  </si>
  <si>
    <t>A.III    Fondy ze zisku</t>
  </si>
  <si>
    <t>A.II     Ážio a kapitálové fondy</t>
  </si>
  <si>
    <t>B.+C. CIZÍ ZDROJE</t>
  </si>
  <si>
    <t>C.I  Dlouhodobé závazky</t>
  </si>
  <si>
    <t xml:space="preserve">       1. Vydané dluhopisy</t>
  </si>
  <si>
    <r>
      <t xml:space="preserve">       2. Závazky k úvěrovým institucím </t>
    </r>
    <r>
      <rPr>
        <i/>
        <sz val="12"/>
        <rFont val="Times New Roman CE"/>
        <family val="1"/>
        <charset val="238"/>
      </rPr>
      <t>(úvěry)</t>
    </r>
  </si>
  <si>
    <t>C.II Krátkodobé závazky</t>
  </si>
  <si>
    <t xml:space="preserve">       4.   Z obchodních vztahů</t>
  </si>
  <si>
    <t xml:space="preserve">       8.3 K zaměstnancům</t>
  </si>
  <si>
    <t>VH před zdaněním</t>
  </si>
  <si>
    <t>Tržby z prodeje výrobků a služeb</t>
  </si>
  <si>
    <r>
      <t>Úpravy hodnot v provozní oblasti</t>
    </r>
    <r>
      <rPr>
        <i/>
        <sz val="12"/>
        <color rgb="FF000000"/>
        <rFont val="Times New Roman CE"/>
        <charset val="238"/>
      </rPr>
      <t xml:space="preserve"> (odpisy)</t>
    </r>
  </si>
  <si>
    <t>B.I  Dlouhodobý nehmotný majetek</t>
  </si>
  <si>
    <t xml:space="preserve">           Automobily na leasing</t>
  </si>
  <si>
    <t xml:space="preserve">         Peněžní prostředky nutné</t>
  </si>
  <si>
    <t xml:space="preserve">         Peněžní prostředky nenutné</t>
  </si>
  <si>
    <t xml:space="preserve">       Závazek z leasingu</t>
  </si>
  <si>
    <t>Ekopress 2023, Praha, třetí vydání, ISBN 978-80-87865-89-7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</si>
</sst>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0"/>
    <numFmt numFmtId="165" formatCode="#,##0.0_0"/>
    <numFmt numFmtId="166" formatCode="0.0%"/>
    <numFmt numFmtId="167" formatCode="#,##0.0000_0"/>
  </numFmts>
  <fonts count="66" x14ac:knownFonts="1">
    <font>
      <sz val="12"/>
      <name val="Times New Roman CE"/>
      <charset val="238"/>
    </font>
    <font>
      <b/>
      <sz val="12"/>
      <name val="Times New Roman CE"/>
      <charset val="238"/>
    </font>
    <font>
      <i/>
      <sz val="12"/>
      <name val="Times New Roman CE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sz val="12"/>
      <name val="Wingdings"/>
      <charset val="2"/>
    </font>
    <font>
      <b/>
      <sz val="12"/>
      <color indexed="12"/>
      <name val="Times New Roman CE"/>
      <family val="1"/>
      <charset val="238"/>
    </font>
    <font>
      <b/>
      <u/>
      <sz val="12"/>
      <color indexed="16"/>
      <name val="Times New Roman CE"/>
      <family val="1"/>
      <charset val="238"/>
    </font>
    <font>
      <b/>
      <sz val="12"/>
      <color indexed="17"/>
      <name val="Times New Roman CE"/>
      <family val="1"/>
      <charset val="238"/>
    </font>
    <font>
      <sz val="12"/>
      <color indexed="18"/>
      <name val="Times New Roman CE"/>
      <family val="1"/>
      <charset val="238"/>
    </font>
    <font>
      <sz val="11"/>
      <color indexed="18"/>
      <name val="Times New Roman CE"/>
      <family val="1"/>
      <charset val="238"/>
    </font>
    <font>
      <sz val="12"/>
      <color indexed="8"/>
      <name val="Times New Roman CE"/>
      <family val="1"/>
      <charset val="238"/>
    </font>
    <font>
      <sz val="11"/>
      <color indexed="8"/>
      <name val="Times New Roman CE"/>
      <family val="1"/>
      <charset val="238"/>
    </font>
    <font>
      <b/>
      <sz val="12"/>
      <color indexed="18"/>
      <name val="Times New Roman CE"/>
      <family val="1"/>
      <charset val="238"/>
    </font>
    <font>
      <b/>
      <sz val="11"/>
      <color indexed="18"/>
      <name val="Times New Roman CE"/>
      <family val="1"/>
      <charset val="238"/>
    </font>
    <font>
      <b/>
      <sz val="12"/>
      <color indexed="16"/>
      <name val="Times New Roman CE"/>
      <family val="1"/>
      <charset val="238"/>
    </font>
    <font>
      <b/>
      <u/>
      <sz val="12"/>
      <color indexed="18"/>
      <name val="Times New Roman CE"/>
      <family val="1"/>
      <charset val="238"/>
    </font>
    <font>
      <b/>
      <sz val="12"/>
      <color indexed="17"/>
      <name val="Times New Roman CE"/>
      <charset val="238"/>
    </font>
    <font>
      <sz val="12"/>
      <color indexed="20"/>
      <name val="Times New Roman CE"/>
      <family val="1"/>
      <charset val="238"/>
    </font>
    <font>
      <sz val="11"/>
      <name val="Times New Roman CE"/>
      <family val="1"/>
      <charset val="238"/>
    </font>
    <font>
      <b/>
      <sz val="16"/>
      <name val="Arial CE"/>
      <family val="2"/>
      <charset val="238"/>
    </font>
    <font>
      <b/>
      <sz val="12"/>
      <color indexed="20"/>
      <name val="Times New Roman CE"/>
      <charset val="238"/>
    </font>
    <font>
      <sz val="10"/>
      <name val="Wingdings"/>
      <charset val="2"/>
    </font>
    <font>
      <b/>
      <sz val="10"/>
      <color indexed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2"/>
      <color indexed="51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7"/>
      <name val="Times New Roman CE"/>
      <charset val="238"/>
    </font>
    <font>
      <i/>
      <sz val="12"/>
      <color indexed="18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1"/>
      <name val="Times New Roman CE"/>
      <charset val="238"/>
    </font>
    <font>
      <sz val="11"/>
      <color indexed="62"/>
      <name val="Times New Roman CE"/>
      <family val="1"/>
      <charset val="238"/>
    </font>
    <font>
      <b/>
      <sz val="12"/>
      <color indexed="18"/>
      <name val="Times New Roman CE"/>
      <charset val="238"/>
    </font>
    <font>
      <b/>
      <sz val="11"/>
      <color indexed="18"/>
      <name val="Times New Roman CE"/>
      <charset val="238"/>
    </font>
    <font>
      <b/>
      <sz val="11"/>
      <color indexed="62"/>
      <name val="Times New Roman CE"/>
      <charset val="238"/>
    </font>
    <font>
      <b/>
      <i/>
      <sz val="12"/>
      <color indexed="8"/>
      <name val="Times New Roman CE"/>
      <charset val="238"/>
    </font>
    <font>
      <b/>
      <i/>
      <sz val="11"/>
      <color indexed="8"/>
      <name val="Times New Roman CE"/>
      <charset val="238"/>
    </font>
    <font>
      <u/>
      <sz val="12"/>
      <color indexed="12"/>
      <name val="Times New Roman CE"/>
      <charset val="238"/>
    </font>
    <font>
      <b/>
      <sz val="12"/>
      <color indexed="10"/>
      <name val="Times New Roman CE"/>
      <charset val="238"/>
    </font>
    <font>
      <vertAlign val="subscript"/>
      <sz val="12"/>
      <name val="Times New Roman CE"/>
      <family val="1"/>
      <charset val="238"/>
    </font>
    <font>
      <b/>
      <sz val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1"/>
      <color indexed="8"/>
      <name val="Times New Roman CE"/>
      <charset val="238"/>
    </font>
    <font>
      <sz val="11"/>
      <name val="Times New Roman CE"/>
      <charset val="238"/>
    </font>
    <font>
      <b/>
      <sz val="12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indexed="16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2"/>
      <color rgb="FFC00000"/>
      <name val="Times New Roman CE"/>
      <family val="1"/>
      <charset val="238"/>
    </font>
    <font>
      <b/>
      <sz val="12"/>
      <color rgb="FF008000"/>
      <name val="Times New Roman"/>
      <family val="1"/>
      <charset val="238"/>
    </font>
    <font>
      <b/>
      <sz val="11"/>
      <color rgb="FFFF0000"/>
      <name val="Times New Roman CE"/>
      <charset val="238"/>
    </font>
    <font>
      <sz val="12"/>
      <color rgb="FFC0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b/>
      <sz val="11"/>
      <color rgb="FFFF0000"/>
      <name val="Times New Roman CE"/>
      <family val="1"/>
      <charset val="238"/>
    </font>
    <font>
      <b/>
      <sz val="12"/>
      <color rgb="FFFF0000"/>
      <name val="Times New Roman CE"/>
      <charset val="238"/>
    </font>
    <font>
      <b/>
      <sz val="12"/>
      <color rgb="FF000099"/>
      <name val="Times New Roman CE"/>
      <charset val="238"/>
    </font>
    <font>
      <b/>
      <sz val="11"/>
      <color rgb="FF000099"/>
      <name val="Times New Roman CE"/>
      <charset val="238"/>
    </font>
    <font>
      <b/>
      <sz val="12"/>
      <color rgb="FF0000FF"/>
      <name val="Times New Roman CE"/>
      <charset val="238"/>
    </font>
    <font>
      <sz val="11"/>
      <color indexed="18"/>
      <name val="Times New Roman CE"/>
      <charset val="238"/>
    </font>
    <font>
      <i/>
      <sz val="12"/>
      <color rgb="FF000000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AF1DD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9" fillId="0" borderId="0"/>
    <xf numFmtId="9" fontId="3" fillId="0" borderId="0" applyFont="0" applyFill="0" applyBorder="0" applyAlignment="0" applyProtection="0"/>
  </cellStyleXfs>
  <cellXfs count="457">
    <xf numFmtId="0" fontId="0" fillId="0" borderId="0" xfId="0"/>
    <xf numFmtId="0" fontId="0" fillId="0" borderId="0" xfId="0" applyAlignment="1">
      <alignment horizontal="centerContinuous"/>
    </xf>
    <xf numFmtId="0" fontId="4" fillId="0" borderId="0" xfId="0" applyFont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/>
    <xf numFmtId="0" fontId="9" fillId="0" borderId="1" xfId="0" applyFont="1" applyBorder="1"/>
    <xf numFmtId="0" fontId="11" fillId="0" borderId="1" xfId="0" applyFont="1" applyBorder="1"/>
    <xf numFmtId="0" fontId="9" fillId="0" borderId="2" xfId="0" applyFont="1" applyBorder="1"/>
    <xf numFmtId="0" fontId="13" fillId="0" borderId="2" xfId="0" applyFont="1" applyBorder="1"/>
    <xf numFmtId="0" fontId="13" fillId="0" borderId="3" xfId="0" applyFont="1" applyBorder="1"/>
    <xf numFmtId="0" fontId="16" fillId="0" borderId="1" xfId="0" applyFont="1" applyBorder="1"/>
    <xf numFmtId="0" fontId="11" fillId="0" borderId="2" xfId="0" applyFont="1" applyBorder="1"/>
    <xf numFmtId="0" fontId="16" fillId="0" borderId="4" xfId="0" applyFont="1" applyBorder="1"/>
    <xf numFmtId="0" fontId="11" fillId="0" borderId="3" xfId="0" applyFont="1" applyBorder="1"/>
    <xf numFmtId="0" fontId="13" fillId="0" borderId="5" xfId="0" applyFont="1" applyBorder="1"/>
    <xf numFmtId="0" fontId="9" fillId="0" borderId="3" xfId="0" applyFont="1" applyBorder="1"/>
    <xf numFmtId="9" fontId="4" fillId="0" borderId="0" xfId="3" applyFont="1"/>
    <xf numFmtId="164" fontId="14" fillId="0" borderId="6" xfId="0" applyNumberFormat="1" applyFont="1" applyBorder="1"/>
    <xf numFmtId="164" fontId="14" fillId="0" borderId="7" xfId="0" applyNumberFormat="1" applyFont="1" applyBorder="1"/>
    <xf numFmtId="164" fontId="10" fillId="0" borderId="6" xfId="0" applyNumberFormat="1" applyFont="1" applyBorder="1"/>
    <xf numFmtId="164" fontId="10" fillId="0" borderId="7" xfId="0" applyNumberFormat="1" applyFont="1" applyBorder="1"/>
    <xf numFmtId="164" fontId="12" fillId="0" borderId="6" xfId="0" applyNumberFormat="1" applyFont="1" applyBorder="1"/>
    <xf numFmtId="164" fontId="12" fillId="0" borderId="7" xfId="0" applyNumberFormat="1" applyFont="1" applyBorder="1"/>
    <xf numFmtId="164" fontId="12" fillId="0" borderId="8" xfId="0" applyNumberFormat="1" applyFont="1" applyBorder="1"/>
    <xf numFmtId="164" fontId="12" fillId="0" borderId="9" xfId="0" applyNumberFormat="1" applyFont="1" applyBorder="1"/>
    <xf numFmtId="164" fontId="14" fillId="0" borderId="10" xfId="0" applyNumberFormat="1" applyFont="1" applyBorder="1"/>
    <xf numFmtId="164" fontId="14" fillId="0" borderId="11" xfId="0" applyNumberFormat="1" applyFont="1" applyBorder="1"/>
    <xf numFmtId="164" fontId="12" fillId="0" borderId="12" xfId="0" applyNumberFormat="1" applyFont="1" applyBorder="1"/>
    <xf numFmtId="164" fontId="12" fillId="0" borderId="13" xfId="0" applyNumberFormat="1" applyFont="1" applyBorder="1"/>
    <xf numFmtId="164" fontId="14" fillId="0" borderId="14" xfId="0" applyNumberFormat="1" applyFont="1" applyBorder="1"/>
    <xf numFmtId="164" fontId="14" fillId="0" borderId="15" xfId="0" applyNumberFormat="1" applyFont="1" applyBorder="1"/>
    <xf numFmtId="164" fontId="10" fillId="0" borderId="8" xfId="0" applyNumberFormat="1" applyFont="1" applyBorder="1"/>
    <xf numFmtId="164" fontId="10" fillId="0" borderId="9" xfId="0" applyNumberFormat="1" applyFont="1" applyBorder="1"/>
    <xf numFmtId="164" fontId="10" fillId="0" borderId="12" xfId="0" applyNumberFormat="1" applyFont="1" applyBorder="1"/>
    <xf numFmtId="164" fontId="10" fillId="0" borderId="13" xfId="0" applyNumberFormat="1" applyFont="1" applyBorder="1"/>
    <xf numFmtId="164" fontId="14" fillId="0" borderId="8" xfId="0" applyNumberFormat="1" applyFont="1" applyBorder="1"/>
    <xf numFmtId="164" fontId="14" fillId="0" borderId="9" xfId="0" applyNumberFormat="1" applyFont="1" applyBorder="1"/>
    <xf numFmtId="164" fontId="14" fillId="0" borderId="12" xfId="0" applyNumberFormat="1" applyFont="1" applyBorder="1"/>
    <xf numFmtId="164" fontId="14" fillId="0" borderId="13" xfId="0" applyNumberFormat="1" applyFont="1" applyBorder="1"/>
    <xf numFmtId="164" fontId="18" fillId="0" borderId="0" xfId="0" applyNumberFormat="1" applyFont="1"/>
    <xf numFmtId="0" fontId="0" fillId="0" borderId="16" xfId="0" applyBorder="1"/>
    <xf numFmtId="164" fontId="0" fillId="0" borderId="16" xfId="0" applyNumberFormat="1" applyBorder="1"/>
    <xf numFmtId="164" fontId="0" fillId="0" borderId="16" xfId="0" applyNumberFormat="1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9" xfId="0" applyNumberFormat="1" applyBorder="1" applyAlignment="1">
      <alignment vertical="center"/>
    </xf>
    <xf numFmtId="164" fontId="0" fillId="0" borderId="20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164" fontId="0" fillId="0" borderId="21" xfId="0" applyNumberFormat="1" applyBorder="1" applyAlignment="1">
      <alignment vertical="center"/>
    </xf>
    <xf numFmtId="164" fontId="0" fillId="0" borderId="2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23" xfId="0" applyNumberFormat="1" applyBorder="1" applyAlignment="1">
      <alignment vertical="center"/>
    </xf>
    <xf numFmtId="164" fontId="0" fillId="0" borderId="24" xfId="0" applyNumberForma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164" fontId="1" fillId="0" borderId="19" xfId="0" applyNumberFormat="1" applyFont="1" applyBorder="1" applyAlignment="1">
      <alignment vertical="center"/>
    </xf>
    <xf numFmtId="164" fontId="1" fillId="0" borderId="20" xfId="0" applyNumberFormat="1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164" fontId="1" fillId="0" borderId="26" xfId="0" applyNumberFormat="1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1" fillId="0" borderId="0" xfId="0" applyFont="1"/>
    <xf numFmtId="165" fontId="21" fillId="0" borderId="0" xfId="0" applyNumberFormat="1" applyFont="1"/>
    <xf numFmtId="0" fontId="3" fillId="0" borderId="0" xfId="0" applyFont="1"/>
    <xf numFmtId="0" fontId="22" fillId="0" borderId="0" xfId="0" applyFont="1" applyAlignment="1">
      <alignment horizontal="right"/>
    </xf>
    <xf numFmtId="0" fontId="0" fillId="0" borderId="28" xfId="0" applyBorder="1"/>
    <xf numFmtId="3" fontId="1" fillId="0" borderId="14" xfId="0" applyNumberFormat="1" applyFont="1" applyBorder="1"/>
    <xf numFmtId="0" fontId="0" fillId="0" borderId="7" xfId="0" applyBorder="1"/>
    <xf numFmtId="0" fontId="0" fillId="0" borderId="31" xfId="0" applyBorder="1"/>
    <xf numFmtId="0" fontId="0" fillId="0" borderId="32" xfId="0" applyBorder="1"/>
    <xf numFmtId="0" fontId="0" fillId="0" borderId="9" xfId="0" applyBorder="1"/>
    <xf numFmtId="3" fontId="0" fillId="0" borderId="8" xfId="0" applyNumberFormat="1" applyBorder="1"/>
    <xf numFmtId="3" fontId="0" fillId="0" borderId="6" xfId="0" applyNumberFormat="1" applyBorder="1"/>
    <xf numFmtId="0" fontId="1" fillId="0" borderId="29" xfId="0" applyFont="1" applyBorder="1"/>
    <xf numFmtId="0" fontId="1" fillId="0" borderId="30" xfId="0" applyFont="1" applyBorder="1"/>
    <xf numFmtId="0" fontId="1" fillId="0" borderId="15" xfId="0" applyFont="1" applyBorder="1"/>
    <xf numFmtId="0" fontId="0" fillId="0" borderId="33" xfId="0" applyBorder="1"/>
    <xf numFmtId="166" fontId="0" fillId="0" borderId="6" xfId="3" applyNumberFormat="1" applyFont="1" applyBorder="1"/>
    <xf numFmtId="166" fontId="0" fillId="0" borderId="8" xfId="3" applyNumberFormat="1" applyFont="1" applyBorder="1"/>
    <xf numFmtId="0" fontId="0" fillId="0" borderId="34" xfId="0" applyBorder="1"/>
    <xf numFmtId="0" fontId="0" fillId="0" borderId="23" xfId="0" applyBorder="1"/>
    <xf numFmtId="164" fontId="0" fillId="0" borderId="6" xfId="0" applyNumberFormat="1" applyBorder="1"/>
    <xf numFmtId="164" fontId="0" fillId="0" borderId="8" xfId="0" applyNumberFormat="1" applyBorder="1"/>
    <xf numFmtId="164" fontId="1" fillId="0" borderId="6" xfId="0" applyNumberFormat="1" applyFont="1" applyBorder="1"/>
    <xf numFmtId="3" fontId="19" fillId="0" borderId="35" xfId="0" applyNumberFormat="1" applyFont="1" applyBorder="1" applyAlignment="1">
      <alignment vertical="center"/>
    </xf>
    <xf numFmtId="3" fontId="19" fillId="0" borderId="23" xfId="0" applyNumberFormat="1" applyFont="1" applyBorder="1" applyAlignment="1">
      <alignment vertical="center"/>
    </xf>
    <xf numFmtId="3" fontId="19" fillId="0" borderId="36" xfId="0" applyNumberFormat="1" applyFont="1" applyBorder="1" applyAlignment="1">
      <alignment vertical="center"/>
    </xf>
    <xf numFmtId="3" fontId="19" fillId="0" borderId="37" xfId="0" applyNumberFormat="1" applyFont="1" applyBorder="1" applyAlignment="1">
      <alignment vertical="center"/>
    </xf>
    <xf numFmtId="3" fontId="19" fillId="0" borderId="21" xfId="0" applyNumberFormat="1" applyFont="1" applyBorder="1" applyAlignment="1">
      <alignment vertical="center"/>
    </xf>
    <xf numFmtId="0" fontId="0" fillId="0" borderId="38" xfId="0" applyBorder="1"/>
    <xf numFmtId="166" fontId="0" fillId="0" borderId="39" xfId="3" applyNumberFormat="1" applyFont="1" applyBorder="1"/>
    <xf numFmtId="0" fontId="19" fillId="0" borderId="40" xfId="0" applyFont="1" applyBorder="1"/>
    <xf numFmtId="0" fontId="19" fillId="0" borderId="8" xfId="0" applyFont="1" applyBorder="1"/>
    <xf numFmtId="0" fontId="24" fillId="0" borderId="33" xfId="0" applyFont="1" applyBorder="1"/>
    <xf numFmtId="0" fontId="24" fillId="0" borderId="6" xfId="0" applyFont="1" applyBorder="1"/>
    <xf numFmtId="9" fontId="19" fillId="0" borderId="8" xfId="0" applyNumberFormat="1" applyFont="1" applyBorder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164" fontId="14" fillId="0" borderId="1" xfId="0" applyNumberFormat="1" applyFont="1" applyBorder="1"/>
    <xf numFmtId="164" fontId="10" fillId="0" borderId="1" xfId="0" applyNumberFormat="1" applyFont="1" applyBorder="1"/>
    <xf numFmtId="164" fontId="12" fillId="0" borderId="1" xfId="0" applyNumberFormat="1" applyFont="1" applyBorder="1"/>
    <xf numFmtId="164" fontId="12" fillId="0" borderId="2" xfId="0" applyNumberFormat="1" applyFont="1" applyBorder="1"/>
    <xf numFmtId="164" fontId="14" fillId="0" borderId="4" xfId="0" applyNumberFormat="1" applyFont="1" applyBorder="1"/>
    <xf numFmtId="164" fontId="12" fillId="0" borderId="3" xfId="0" applyNumberFormat="1" applyFont="1" applyBorder="1"/>
    <xf numFmtId="164" fontId="14" fillId="0" borderId="5" xfId="0" applyNumberFormat="1" applyFont="1" applyBorder="1"/>
    <xf numFmtId="164" fontId="10" fillId="0" borderId="2" xfId="0" applyNumberFormat="1" applyFont="1" applyBorder="1"/>
    <xf numFmtId="164" fontId="10" fillId="0" borderId="3" xfId="0" applyNumberFormat="1" applyFont="1" applyBorder="1"/>
    <xf numFmtId="164" fontId="14" fillId="0" borderId="2" xfId="0" applyNumberFormat="1" applyFont="1" applyBorder="1"/>
    <xf numFmtId="164" fontId="14" fillId="0" borderId="3" xfId="0" applyNumberFormat="1" applyFont="1" applyBorder="1"/>
    <xf numFmtId="167" fontId="0" fillId="0" borderId="8" xfId="0" applyNumberFormat="1" applyBorder="1"/>
    <xf numFmtId="164" fontId="0" fillId="0" borderId="41" xfId="0" applyNumberFormat="1" applyBorder="1"/>
    <xf numFmtId="0" fontId="1" fillId="0" borderId="34" xfId="0" applyFont="1" applyBorder="1"/>
    <xf numFmtId="0" fontId="15" fillId="0" borderId="34" xfId="0" applyFont="1" applyBorder="1"/>
    <xf numFmtId="164" fontId="15" fillId="0" borderId="6" xfId="0" applyNumberFormat="1" applyFont="1" applyBorder="1"/>
    <xf numFmtId="0" fontId="26" fillId="0" borderId="23" xfId="0" applyFont="1" applyBorder="1"/>
    <xf numFmtId="164" fontId="26" fillId="0" borderId="8" xfId="0" applyNumberFormat="1" applyFont="1" applyBorder="1"/>
    <xf numFmtId="0" fontId="0" fillId="0" borderId="0" xfId="0" applyAlignment="1">
      <alignment horizontal="left"/>
    </xf>
    <xf numFmtId="0" fontId="0" fillId="0" borderId="40" xfId="0" applyBorder="1"/>
    <xf numFmtId="164" fontId="0" fillId="0" borderId="0" xfId="0" applyNumberFormat="1"/>
    <xf numFmtId="166" fontId="0" fillId="0" borderId="16" xfId="3" applyNumberFormat="1" applyFont="1" applyBorder="1"/>
    <xf numFmtId="165" fontId="0" fillId="0" borderId="0" xfId="0" applyNumberFormat="1"/>
    <xf numFmtId="164" fontId="0" fillId="0" borderId="17" xfId="0" applyNumberFormat="1" applyBorder="1"/>
    <xf numFmtId="164" fontId="0" fillId="0" borderId="25" xfId="0" applyNumberFormat="1" applyBorder="1"/>
    <xf numFmtId="164" fontId="0" fillId="0" borderId="26" xfId="0" applyNumberFormat="1" applyBorder="1"/>
    <xf numFmtId="164" fontId="0" fillId="0" borderId="42" xfId="0" applyNumberFormat="1" applyBorder="1"/>
    <xf numFmtId="164" fontId="0" fillId="0" borderId="43" xfId="0" applyNumberFormat="1" applyBorder="1"/>
    <xf numFmtId="0" fontId="0" fillId="0" borderId="44" xfId="0" applyBorder="1"/>
    <xf numFmtId="0" fontId="0" fillId="0" borderId="18" xfId="0" applyBorder="1"/>
    <xf numFmtId="0" fontId="0" fillId="0" borderId="27" xfId="0" applyBorder="1"/>
    <xf numFmtId="0" fontId="0" fillId="0" borderId="6" xfId="0" applyBorder="1"/>
    <xf numFmtId="0" fontId="0" fillId="0" borderId="45" xfId="0" applyBorder="1"/>
    <xf numFmtId="0" fontId="0" fillId="0" borderId="46" xfId="0" applyBorder="1"/>
    <xf numFmtId="164" fontId="18" fillId="0" borderId="46" xfId="0" applyNumberFormat="1" applyFont="1" applyBorder="1"/>
    <xf numFmtId="0" fontId="0" fillId="0" borderId="39" xfId="0" applyBorder="1"/>
    <xf numFmtId="164" fontId="18" fillId="0" borderId="32" xfId="0" applyNumberFormat="1" applyFont="1" applyBorder="1"/>
    <xf numFmtId="0" fontId="0" fillId="0" borderId="8" xfId="0" applyBorder="1"/>
    <xf numFmtId="0" fontId="19" fillId="0" borderId="47" xfId="0" applyFont="1" applyBorder="1" applyAlignment="1">
      <alignment vertical="center"/>
    </xf>
    <xf numFmtId="164" fontId="0" fillId="0" borderId="34" xfId="0" applyNumberFormat="1" applyBorder="1"/>
    <xf numFmtId="0" fontId="27" fillId="0" borderId="0" xfId="0" applyFont="1" applyAlignment="1">
      <alignment horizontal="left"/>
    </xf>
    <xf numFmtId="9" fontId="27" fillId="0" borderId="0" xfId="0" applyNumberFormat="1" applyFont="1"/>
    <xf numFmtId="0" fontId="6" fillId="0" borderId="32" xfId="0" applyFont="1" applyBorder="1" applyAlignment="1">
      <alignment horizontal="centerContinuous"/>
    </xf>
    <xf numFmtId="3" fontId="6" fillId="0" borderId="32" xfId="0" applyNumberFormat="1" applyFont="1" applyBorder="1" applyAlignment="1">
      <alignment horizontal="centerContinuous"/>
    </xf>
    <xf numFmtId="0" fontId="1" fillId="0" borderId="23" xfId="0" applyFont="1" applyBorder="1"/>
    <xf numFmtId="3" fontId="1" fillId="0" borderId="8" xfId="0" applyNumberFormat="1" applyFont="1" applyBorder="1"/>
    <xf numFmtId="166" fontId="1" fillId="0" borderId="8" xfId="3" applyNumberFormat="1" applyFont="1" applyBorder="1"/>
    <xf numFmtId="167" fontId="0" fillId="0" borderId="0" xfId="0" applyNumberFormat="1"/>
    <xf numFmtId="0" fontId="29" fillId="0" borderId="0" xfId="0" applyFont="1"/>
    <xf numFmtId="3" fontId="1" fillId="0" borderId="23" xfId="0" applyNumberFormat="1" applyFont="1" applyBorder="1"/>
    <xf numFmtId="166" fontId="1" fillId="0" borderId="8" xfId="3" applyNumberFormat="1" applyFont="1" applyFill="1" applyBorder="1"/>
    <xf numFmtId="164" fontId="0" fillId="0" borderId="23" xfId="0" applyNumberFormat="1" applyBorder="1"/>
    <xf numFmtId="0" fontId="30" fillId="0" borderId="0" xfId="0" applyFont="1"/>
    <xf numFmtId="0" fontId="19" fillId="0" borderId="33" xfId="0" applyFont="1" applyBorder="1"/>
    <xf numFmtId="0" fontId="19" fillId="0" borderId="39" xfId="0" applyFont="1" applyBorder="1"/>
    <xf numFmtId="164" fontId="0" fillId="0" borderId="39" xfId="0" applyNumberFormat="1" applyBorder="1"/>
    <xf numFmtId="0" fontId="31" fillId="0" borderId="5" xfId="0" applyFont="1" applyBorder="1"/>
    <xf numFmtId="9" fontId="31" fillId="0" borderId="5" xfId="0" applyNumberFormat="1" applyFont="1" applyBorder="1" applyAlignment="1">
      <alignment horizontal="center"/>
    </xf>
    <xf numFmtId="9" fontId="31" fillId="0" borderId="14" xfId="0" applyNumberFormat="1" applyFont="1" applyBorder="1" applyAlignment="1">
      <alignment horizontal="center"/>
    </xf>
    <xf numFmtId="9" fontId="31" fillId="0" borderId="15" xfId="0" applyNumberFormat="1" applyFont="1" applyBorder="1" applyAlignment="1">
      <alignment horizontal="center"/>
    </xf>
    <xf numFmtId="0" fontId="15" fillId="0" borderId="0" xfId="0" applyFont="1" applyAlignment="1">
      <alignment vertical="top"/>
    </xf>
    <xf numFmtId="0" fontId="24" fillId="0" borderId="0" xfId="0" applyFont="1"/>
    <xf numFmtId="3" fontId="24" fillId="0" borderId="0" xfId="0" applyNumberFormat="1" applyFont="1"/>
    <xf numFmtId="164" fontId="33" fillId="0" borderId="2" xfId="0" applyNumberFormat="1" applyFont="1" applyBorder="1"/>
    <xf numFmtId="164" fontId="33" fillId="0" borderId="9" xfId="0" applyNumberFormat="1" applyFont="1" applyBorder="1"/>
    <xf numFmtId="0" fontId="19" fillId="0" borderId="48" xfId="0" applyFont="1" applyBorder="1"/>
    <xf numFmtId="0" fontId="34" fillId="0" borderId="2" xfId="0" applyFont="1" applyBorder="1"/>
    <xf numFmtId="164" fontId="35" fillId="0" borderId="8" xfId="0" applyNumberFormat="1" applyFont="1" applyBorder="1"/>
    <xf numFmtId="164" fontId="36" fillId="0" borderId="9" xfId="0" applyNumberFormat="1" applyFont="1" applyBorder="1"/>
    <xf numFmtId="164" fontId="35" fillId="0" borderId="9" xfId="0" applyNumberFormat="1" applyFont="1" applyBorder="1"/>
    <xf numFmtId="0" fontId="37" fillId="0" borderId="44" xfId="0" applyFont="1" applyBorder="1"/>
    <xf numFmtId="164" fontId="38" fillId="0" borderId="49" xfId="0" applyNumberFormat="1" applyFont="1" applyBorder="1"/>
    <xf numFmtId="164" fontId="38" fillId="0" borderId="50" xfId="0" applyNumberFormat="1" applyFont="1" applyBorder="1"/>
    <xf numFmtId="3" fontId="19" fillId="0" borderId="34" xfId="0" applyNumberFormat="1" applyFont="1" applyBorder="1" applyAlignment="1">
      <alignment vertical="center"/>
    </xf>
    <xf numFmtId="3" fontId="19" fillId="0" borderId="22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0" fontId="37" fillId="0" borderId="5" xfId="0" applyFont="1" applyBorder="1"/>
    <xf numFmtId="164" fontId="38" fillId="0" borderId="14" xfId="0" applyNumberFormat="1" applyFont="1" applyBorder="1"/>
    <xf numFmtId="164" fontId="38" fillId="0" borderId="15" xfId="0" applyNumberFormat="1" applyFont="1" applyBorder="1"/>
    <xf numFmtId="0" fontId="25" fillId="0" borderId="51" xfId="0" applyFont="1" applyBorder="1" applyAlignment="1">
      <alignment horizontal="center"/>
    </xf>
    <xf numFmtId="0" fontId="17" fillId="0" borderId="51" xfId="0" applyFont="1" applyBorder="1" applyAlignment="1">
      <alignment horizontal="center"/>
    </xf>
    <xf numFmtId="0" fontId="13" fillId="0" borderId="51" xfId="0" applyFont="1" applyBorder="1"/>
    <xf numFmtId="3" fontId="19" fillId="0" borderId="52" xfId="0" applyNumberFormat="1" applyFont="1" applyBorder="1" applyAlignment="1">
      <alignment vertical="center"/>
    </xf>
    <xf numFmtId="0" fontId="40" fillId="0" borderId="29" xfId="0" applyFont="1" applyBorder="1"/>
    <xf numFmtId="0" fontId="40" fillId="0" borderId="30" xfId="0" applyFont="1" applyBorder="1"/>
    <xf numFmtId="0" fontId="40" fillId="0" borderId="15" xfId="0" applyFont="1" applyBorder="1"/>
    <xf numFmtId="3" fontId="40" fillId="0" borderId="14" xfId="0" applyNumberFormat="1" applyFont="1" applyBorder="1"/>
    <xf numFmtId="0" fontId="40" fillId="0" borderId="40" xfId="0" applyFont="1" applyBorder="1"/>
    <xf numFmtId="0" fontId="40" fillId="0" borderId="8" xfId="0" applyFont="1" applyBorder="1"/>
    <xf numFmtId="164" fontId="40" fillId="0" borderId="8" xfId="0" applyNumberFormat="1" applyFont="1" applyBorder="1"/>
    <xf numFmtId="0" fontId="40" fillId="0" borderId="16" xfId="0" applyFont="1" applyBorder="1"/>
    <xf numFmtId="10" fontId="40" fillId="0" borderId="41" xfId="3" applyNumberFormat="1" applyFont="1" applyBorder="1"/>
    <xf numFmtId="164" fontId="40" fillId="0" borderId="23" xfId="0" applyNumberFormat="1" applyFont="1" applyBorder="1"/>
    <xf numFmtId="10" fontId="0" fillId="0" borderId="8" xfId="3" applyNumberFormat="1" applyFont="1" applyBorder="1"/>
    <xf numFmtId="164" fontId="1" fillId="0" borderId="0" xfId="0" applyNumberFormat="1" applyFont="1"/>
    <xf numFmtId="164" fontId="40" fillId="0" borderId="41" xfId="0" applyNumberFormat="1" applyFont="1" applyBorder="1"/>
    <xf numFmtId="10" fontId="3" fillId="0" borderId="8" xfId="3" applyNumberFormat="1" applyBorder="1"/>
    <xf numFmtId="0" fontId="31" fillId="0" borderId="23" xfId="0" applyFont="1" applyBorder="1"/>
    <xf numFmtId="164" fontId="31" fillId="0" borderId="8" xfId="0" applyNumberFormat="1" applyFont="1" applyBorder="1"/>
    <xf numFmtId="0" fontId="19" fillId="0" borderId="53" xfId="0" applyFont="1" applyBorder="1" applyAlignment="1">
      <alignment vertical="center" wrapText="1"/>
    </xf>
    <xf numFmtId="0" fontId="19" fillId="0" borderId="54" xfId="0" applyFont="1" applyBorder="1" applyAlignment="1">
      <alignment vertical="center"/>
    </xf>
    <xf numFmtId="0" fontId="19" fillId="0" borderId="55" xfId="0" applyFont="1" applyBorder="1" applyAlignment="1">
      <alignment vertical="center" wrapText="1"/>
    </xf>
    <xf numFmtId="0" fontId="19" fillId="0" borderId="56" xfId="0" applyFont="1" applyBorder="1" applyAlignment="1">
      <alignment vertical="center" wrapText="1"/>
    </xf>
    <xf numFmtId="0" fontId="19" fillId="0" borderId="57" xfId="0" applyFont="1" applyBorder="1" applyAlignment="1">
      <alignment vertical="center"/>
    </xf>
    <xf numFmtId="0" fontId="32" fillId="0" borderId="55" xfId="0" applyFont="1" applyBorder="1" applyAlignment="1">
      <alignment vertical="center" wrapText="1"/>
    </xf>
    <xf numFmtId="3" fontId="32" fillId="0" borderId="37" xfId="0" applyNumberFormat="1" applyFont="1" applyBorder="1" applyAlignment="1">
      <alignment vertical="center"/>
    </xf>
    <xf numFmtId="3" fontId="32" fillId="0" borderId="52" xfId="0" applyNumberFormat="1" applyFont="1" applyBorder="1" applyAlignment="1">
      <alignment vertical="center"/>
    </xf>
    <xf numFmtId="0" fontId="24" fillId="0" borderId="58" xfId="0" applyFont="1" applyBorder="1" applyAlignment="1">
      <alignment vertical="center"/>
    </xf>
    <xf numFmtId="3" fontId="24" fillId="0" borderId="19" xfId="0" applyNumberFormat="1" applyFont="1" applyBorder="1" applyAlignment="1">
      <alignment vertical="center"/>
    </xf>
    <xf numFmtId="0" fontId="4" fillId="0" borderId="38" xfId="0" applyFont="1" applyBorder="1" applyAlignment="1">
      <alignment horizontal="left" vertical="top" wrapText="1"/>
    </xf>
    <xf numFmtId="164" fontId="4" fillId="0" borderId="39" xfId="0" applyNumberFormat="1" applyFont="1" applyBorder="1" applyAlignment="1">
      <alignment horizontal="right" vertical="top"/>
    </xf>
    <xf numFmtId="0" fontId="0" fillId="0" borderId="0" xfId="0" applyAlignment="1">
      <alignment vertical="center"/>
    </xf>
    <xf numFmtId="0" fontId="31" fillId="0" borderId="0" xfId="0" applyFont="1"/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43" fillId="0" borderId="0" xfId="0" applyFont="1" applyAlignment="1">
      <alignment vertical="center"/>
    </xf>
    <xf numFmtId="0" fontId="42" fillId="0" borderId="48" xfId="0" applyFont="1" applyBorder="1" applyAlignment="1">
      <alignment vertical="center"/>
    </xf>
    <xf numFmtId="0" fontId="39" fillId="0" borderId="41" xfId="1" applyBorder="1" applyAlignment="1" applyProtection="1">
      <alignment vertical="center"/>
    </xf>
    <xf numFmtId="0" fontId="39" fillId="0" borderId="41" xfId="1" applyBorder="1" applyAlignment="1" applyProtection="1"/>
    <xf numFmtId="0" fontId="39" fillId="0" borderId="0" xfId="1" applyAlignment="1" applyProtection="1">
      <alignment horizontal="right"/>
    </xf>
    <xf numFmtId="0" fontId="42" fillId="2" borderId="48" xfId="0" applyFont="1" applyFill="1" applyBorder="1" applyAlignment="1">
      <alignment vertical="center"/>
    </xf>
    <xf numFmtId="0" fontId="42" fillId="2" borderId="41" xfId="0" applyFont="1" applyFill="1" applyBorder="1" applyAlignment="1">
      <alignment vertical="center"/>
    </xf>
    <xf numFmtId="0" fontId="42" fillId="2" borderId="16" xfId="0" applyFont="1" applyFill="1" applyBorder="1" applyAlignment="1">
      <alignment vertical="center"/>
    </xf>
    <xf numFmtId="0" fontId="19" fillId="0" borderId="59" xfId="0" applyFont="1" applyBorder="1" applyAlignment="1">
      <alignment vertical="center" wrapText="1"/>
    </xf>
    <xf numFmtId="3" fontId="19" fillId="0" borderId="24" xfId="0" applyNumberFormat="1" applyFont="1" applyBorder="1" applyAlignment="1">
      <alignment vertical="center"/>
    </xf>
    <xf numFmtId="0" fontId="19" fillId="0" borderId="41" xfId="0" applyFont="1" applyBorder="1"/>
    <xf numFmtId="0" fontId="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64" fontId="44" fillId="0" borderId="6" xfId="0" applyNumberFormat="1" applyFont="1" applyBorder="1"/>
    <xf numFmtId="164" fontId="10" fillId="0" borderId="41" xfId="0" applyNumberFormat="1" applyFont="1" applyBorder="1"/>
    <xf numFmtId="164" fontId="12" fillId="0" borderId="34" xfId="0" applyNumberFormat="1" applyFont="1" applyBorder="1"/>
    <xf numFmtId="164" fontId="12" fillId="0" borderId="23" xfId="0" applyNumberFormat="1" applyFont="1" applyBorder="1"/>
    <xf numFmtId="164" fontId="12" fillId="0" borderId="39" xfId="0" applyNumberFormat="1" applyFont="1" applyBorder="1"/>
    <xf numFmtId="164" fontId="12" fillId="0" borderId="41" xfId="0" applyNumberFormat="1" applyFont="1" applyBorder="1"/>
    <xf numFmtId="0" fontId="2" fillId="0" borderId="0" xfId="0" applyFont="1"/>
    <xf numFmtId="9" fontId="2" fillId="0" borderId="0" xfId="0" applyNumberFormat="1" applyFont="1" applyAlignment="1">
      <alignment horizontal="center"/>
    </xf>
    <xf numFmtId="0" fontId="13" fillId="0" borderId="0" xfId="0" applyFont="1"/>
    <xf numFmtId="164" fontId="14" fillId="0" borderId="0" xfId="0" applyNumberFormat="1" applyFont="1"/>
    <xf numFmtId="0" fontId="19" fillId="0" borderId="60" xfId="0" applyFont="1" applyBorder="1" applyAlignment="1">
      <alignment vertical="center" wrapText="1"/>
    </xf>
    <xf numFmtId="3" fontId="19" fillId="0" borderId="42" xfId="0" applyNumberFormat="1" applyFont="1" applyBorder="1" applyAlignment="1">
      <alignment vertical="center"/>
    </xf>
    <xf numFmtId="3" fontId="19" fillId="0" borderId="43" xfId="0" applyNumberFormat="1" applyFont="1" applyBorder="1" applyAlignment="1">
      <alignment vertical="center"/>
    </xf>
    <xf numFmtId="164" fontId="12" fillId="0" borderId="18" xfId="0" applyNumberFormat="1" applyFont="1" applyBorder="1"/>
    <xf numFmtId="164" fontId="12" fillId="0" borderId="61" xfId="0" applyNumberFormat="1" applyFont="1" applyBorder="1"/>
    <xf numFmtId="0" fontId="9" fillId="0" borderId="18" xfId="0" applyFont="1" applyBorder="1"/>
    <xf numFmtId="164" fontId="10" fillId="0" borderId="18" xfId="0" applyNumberFormat="1" applyFont="1" applyBorder="1"/>
    <xf numFmtId="164" fontId="10" fillId="0" borderId="61" xfId="0" applyNumberFormat="1" applyFont="1" applyBorder="1"/>
    <xf numFmtId="164" fontId="12" fillId="0" borderId="62" xfId="0" applyNumberFormat="1" applyFont="1" applyBorder="1"/>
    <xf numFmtId="164" fontId="12" fillId="0" borderId="63" xfId="0" applyNumberFormat="1" applyFont="1" applyBorder="1"/>
    <xf numFmtId="0" fontId="37" fillId="0" borderId="3" xfId="0" applyFont="1" applyBorder="1"/>
    <xf numFmtId="164" fontId="10" fillId="0" borderId="56" xfId="0" applyNumberFormat="1" applyFont="1" applyBorder="1"/>
    <xf numFmtId="164" fontId="10" fillId="0" borderId="34" xfId="0" applyNumberFormat="1" applyFont="1" applyBorder="1"/>
    <xf numFmtId="164" fontId="14" fillId="0" borderId="53" xfId="0" applyNumberFormat="1" applyFont="1" applyBorder="1"/>
    <xf numFmtId="164" fontId="12" fillId="0" borderId="56" xfId="0" applyNumberFormat="1" applyFont="1" applyBorder="1"/>
    <xf numFmtId="164" fontId="12" fillId="0" borderId="59" xfId="0" applyNumberFormat="1" applyFont="1" applyBorder="1"/>
    <xf numFmtId="0" fontId="54" fillId="0" borderId="0" xfId="0" applyFont="1"/>
    <xf numFmtId="0" fontId="54" fillId="0" borderId="0" xfId="0" applyFont="1" applyAlignment="1">
      <alignment vertical="top"/>
    </xf>
    <xf numFmtId="164" fontId="0" fillId="0" borderId="14" xfId="0" applyNumberFormat="1" applyBorder="1" applyAlignment="1">
      <alignment vertical="center"/>
    </xf>
    <xf numFmtId="164" fontId="0" fillId="0" borderId="10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1" fillId="0" borderId="64" xfId="0" applyNumberFormat="1" applyFont="1" applyBorder="1" applyAlignment="1">
      <alignment vertical="center"/>
    </xf>
    <xf numFmtId="164" fontId="0" fillId="0" borderId="41" xfId="0" applyNumberForma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4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1" fillId="0" borderId="27" xfId="0" applyNumberFormat="1" applyFont="1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164" fontId="0" fillId="0" borderId="49" xfId="0" applyNumberFormat="1" applyBorder="1"/>
    <xf numFmtId="164" fontId="0" fillId="0" borderId="64" xfId="0" applyNumberFormat="1" applyBorder="1"/>
    <xf numFmtId="164" fontId="0" fillId="0" borderId="44" xfId="0" applyNumberFormat="1" applyBorder="1"/>
    <xf numFmtId="164" fontId="0" fillId="0" borderId="18" xfId="0" applyNumberFormat="1" applyBorder="1"/>
    <xf numFmtId="164" fontId="0" fillId="0" borderId="27" xfId="0" applyNumberFormat="1" applyBorder="1"/>
    <xf numFmtId="164" fontId="14" fillId="0" borderId="21" xfId="0" applyNumberFormat="1" applyFont="1" applyBorder="1"/>
    <xf numFmtId="164" fontId="14" fillId="0" borderId="22" xfId="0" applyNumberFormat="1" applyFont="1" applyBorder="1"/>
    <xf numFmtId="164" fontId="10" fillId="0" borderId="65" xfId="0" applyNumberFormat="1" applyFont="1" applyBorder="1"/>
    <xf numFmtId="164" fontId="38" fillId="0" borderId="58" xfId="0" applyNumberFormat="1" applyFont="1" applyBorder="1"/>
    <xf numFmtId="0" fontId="9" fillId="0" borderId="4" xfId="0" applyFont="1" applyBorder="1"/>
    <xf numFmtId="0" fontId="40" fillId="0" borderId="27" xfId="0" applyFont="1" applyBorder="1"/>
    <xf numFmtId="164" fontId="10" fillId="0" borderId="53" xfId="0" applyNumberFormat="1" applyFont="1" applyBorder="1"/>
    <xf numFmtId="164" fontId="10" fillId="0" borderId="10" xfId="0" applyNumberFormat="1" applyFont="1" applyBorder="1"/>
    <xf numFmtId="164" fontId="10" fillId="0" borderId="11" xfId="0" applyNumberFormat="1" applyFont="1" applyBorder="1"/>
    <xf numFmtId="164" fontId="35" fillId="0" borderId="59" xfId="0" applyNumberFormat="1" applyFont="1" applyBorder="1"/>
    <xf numFmtId="164" fontId="56" fillId="0" borderId="65" xfId="0" applyNumberFormat="1" applyFont="1" applyBorder="1"/>
    <xf numFmtId="164" fontId="56" fillId="0" borderId="64" xfId="0" applyNumberFormat="1" applyFont="1" applyBorder="1"/>
    <xf numFmtId="164" fontId="56" fillId="0" borderId="66" xfId="0" applyNumberFormat="1" applyFont="1" applyBorder="1"/>
    <xf numFmtId="0" fontId="11" fillId="0" borderId="44" xfId="0" applyFont="1" applyBorder="1"/>
    <xf numFmtId="164" fontId="45" fillId="0" borderId="53" xfId="0" applyNumberFormat="1" applyFont="1" applyBorder="1"/>
    <xf numFmtId="164" fontId="45" fillId="0" borderId="10" xfId="0" applyNumberFormat="1" applyFont="1" applyBorder="1"/>
    <xf numFmtId="164" fontId="45" fillId="0" borderId="11" xfId="0" applyNumberFormat="1" applyFont="1" applyBorder="1"/>
    <xf numFmtId="0" fontId="11" fillId="0" borderId="4" xfId="0" applyFont="1" applyBorder="1"/>
    <xf numFmtId="164" fontId="12" fillId="0" borderId="53" xfId="0" applyNumberFormat="1" applyFont="1" applyBorder="1"/>
    <xf numFmtId="164" fontId="12" fillId="0" borderId="21" xfId="0" applyNumberFormat="1" applyFont="1" applyBorder="1"/>
    <xf numFmtId="164" fontId="12" fillId="0" borderId="22" xfId="0" applyNumberFormat="1" applyFont="1" applyBorder="1"/>
    <xf numFmtId="164" fontId="12" fillId="0" borderId="67" xfId="0" applyNumberFormat="1" applyFont="1" applyBorder="1"/>
    <xf numFmtId="164" fontId="14" fillId="0" borderId="49" xfId="0" applyNumberFormat="1" applyFont="1" applyBorder="1"/>
    <xf numFmtId="164" fontId="14" fillId="0" borderId="50" xfId="0" applyNumberFormat="1" applyFont="1" applyBorder="1"/>
    <xf numFmtId="164" fontId="38" fillId="0" borderId="64" xfId="0" applyNumberFormat="1" applyFont="1" applyBorder="1"/>
    <xf numFmtId="164" fontId="38" fillId="0" borderId="66" xfId="0" applyNumberFormat="1" applyFont="1" applyBorder="1"/>
    <xf numFmtId="0" fontId="13" fillId="0" borderId="44" xfId="0" applyFont="1" applyBorder="1"/>
    <xf numFmtId="0" fontId="9" fillId="0" borderId="44" xfId="0" applyFont="1" applyBorder="1"/>
    <xf numFmtId="0" fontId="11" fillId="0" borderId="62" xfId="0" applyFont="1" applyBorder="1"/>
    <xf numFmtId="0" fontId="19" fillId="0" borderId="1" xfId="0" applyFont="1" applyBorder="1"/>
    <xf numFmtId="0" fontId="19" fillId="0" borderId="2" xfId="0" applyFont="1" applyBorder="1"/>
    <xf numFmtId="0" fontId="19" fillId="0" borderId="18" xfId="0" applyFont="1" applyBorder="1"/>
    <xf numFmtId="0" fontId="24" fillId="0" borderId="62" xfId="0" applyFont="1" applyBorder="1"/>
    <xf numFmtId="164" fontId="10" fillId="0" borderId="44" xfId="0" applyNumberFormat="1" applyFont="1" applyBorder="1"/>
    <xf numFmtId="164" fontId="44" fillId="0" borderId="62" xfId="0" applyNumberFormat="1" applyFont="1" applyBorder="1"/>
    <xf numFmtId="164" fontId="40" fillId="0" borderId="27" xfId="0" applyNumberFormat="1" applyFont="1" applyBorder="1"/>
    <xf numFmtId="164" fontId="10" fillId="0" borderId="60" xfId="0" applyNumberFormat="1" applyFont="1" applyBorder="1"/>
    <xf numFmtId="164" fontId="10" fillId="0" borderId="42" xfId="0" applyNumberFormat="1" applyFont="1" applyBorder="1"/>
    <xf numFmtId="164" fontId="10" fillId="0" borderId="43" xfId="0" applyNumberFormat="1" applyFont="1" applyBorder="1"/>
    <xf numFmtId="164" fontId="12" fillId="0" borderId="68" xfId="0" applyNumberFormat="1" applyFont="1" applyBorder="1"/>
    <xf numFmtId="164" fontId="12" fillId="0" borderId="54" xfId="0" applyNumberFormat="1" applyFont="1" applyBorder="1"/>
    <xf numFmtId="164" fontId="44" fillId="0" borderId="56" xfId="0" applyNumberFormat="1" applyFont="1" applyBorder="1"/>
    <xf numFmtId="164" fontId="44" fillId="0" borderId="7" xfId="0" applyNumberFormat="1" applyFont="1" applyBorder="1"/>
    <xf numFmtId="164" fontId="40" fillId="0" borderId="65" xfId="0" applyNumberFormat="1" applyFont="1" applyBorder="1"/>
    <xf numFmtId="164" fontId="40" fillId="0" borderId="64" xfId="0" applyNumberFormat="1" applyFont="1" applyBorder="1"/>
    <xf numFmtId="164" fontId="40" fillId="0" borderId="66" xfId="0" applyNumberFormat="1" applyFont="1" applyBorder="1"/>
    <xf numFmtId="0" fontId="13" fillId="0" borderId="27" xfId="0" applyFont="1" applyBorder="1"/>
    <xf numFmtId="164" fontId="12" fillId="0" borderId="44" xfId="0" applyNumberFormat="1" applyFont="1" applyBorder="1"/>
    <xf numFmtId="164" fontId="14" fillId="0" borderId="27" xfId="0" applyNumberFormat="1" applyFont="1" applyBorder="1"/>
    <xf numFmtId="164" fontId="12" fillId="0" borderId="60" xfId="0" applyNumberFormat="1" applyFont="1" applyBorder="1"/>
    <xf numFmtId="164" fontId="12" fillId="0" borderId="42" xfId="0" applyNumberFormat="1" applyFont="1" applyBorder="1"/>
    <xf numFmtId="164" fontId="12" fillId="0" borderId="43" xfId="0" applyNumberFormat="1" applyFont="1" applyBorder="1"/>
    <xf numFmtId="164" fontId="14" fillId="0" borderId="65" xfId="0" applyNumberFormat="1" applyFont="1" applyBorder="1"/>
    <xf numFmtId="164" fontId="14" fillId="0" borderId="25" xfId="0" applyNumberFormat="1" applyFont="1" applyBorder="1"/>
    <xf numFmtId="164" fontId="14" fillId="0" borderId="26" xfId="0" applyNumberFormat="1" applyFont="1" applyBorder="1"/>
    <xf numFmtId="164" fontId="12" fillId="0" borderId="4" xfId="0" applyNumberFormat="1" applyFont="1" applyBorder="1"/>
    <xf numFmtId="164" fontId="12" fillId="0" borderId="24" xfId="0" applyNumberFormat="1" applyFont="1" applyBorder="1"/>
    <xf numFmtId="164" fontId="14" fillId="0" borderId="55" xfId="0" applyNumberFormat="1" applyFont="1" applyBorder="1"/>
    <xf numFmtId="164" fontId="14" fillId="0" borderId="37" xfId="0" applyNumberFormat="1" applyFont="1" applyBorder="1"/>
    <xf numFmtId="164" fontId="14" fillId="0" borderId="52" xfId="0" applyNumberFormat="1" applyFont="1" applyBorder="1"/>
    <xf numFmtId="0" fontId="0" fillId="0" borderId="4" xfId="0" applyBorder="1"/>
    <xf numFmtId="0" fontId="0" fillId="0" borderId="2" xfId="0" applyBorder="1"/>
    <xf numFmtId="0" fontId="11" fillId="4" borderId="1" xfId="0" applyFont="1" applyFill="1" applyBorder="1"/>
    <xf numFmtId="164" fontId="12" fillId="4" borderId="1" xfId="0" applyNumberFormat="1" applyFont="1" applyFill="1" applyBorder="1"/>
    <xf numFmtId="164" fontId="12" fillId="4" borderId="6" xfId="0" applyNumberFormat="1" applyFont="1" applyFill="1" applyBorder="1"/>
    <xf numFmtId="164" fontId="12" fillId="4" borderId="7" xfId="0" applyNumberFormat="1" applyFont="1" applyFill="1" applyBorder="1"/>
    <xf numFmtId="0" fontId="9" fillId="4" borderId="1" xfId="0" applyFont="1" applyFill="1" applyBorder="1"/>
    <xf numFmtId="164" fontId="10" fillId="4" borderId="1" xfId="0" applyNumberFormat="1" applyFont="1" applyFill="1" applyBorder="1"/>
    <xf numFmtId="164" fontId="10" fillId="4" borderId="6" xfId="0" applyNumberFormat="1" applyFont="1" applyFill="1" applyBorder="1"/>
    <xf numFmtId="164" fontId="10" fillId="4" borderId="7" xfId="0" applyNumberFormat="1" applyFont="1" applyFill="1" applyBorder="1"/>
    <xf numFmtId="0" fontId="11" fillId="4" borderId="3" xfId="0" applyFont="1" applyFill="1" applyBorder="1"/>
    <xf numFmtId="164" fontId="12" fillId="4" borderId="3" xfId="0" applyNumberFormat="1" applyFont="1" applyFill="1" applyBorder="1"/>
    <xf numFmtId="164" fontId="12" fillId="4" borderId="55" xfId="0" applyNumberFormat="1" applyFont="1" applyFill="1" applyBorder="1"/>
    <xf numFmtId="164" fontId="12" fillId="4" borderId="12" xfId="0" applyNumberFormat="1" applyFont="1" applyFill="1" applyBorder="1"/>
    <xf numFmtId="164" fontId="12" fillId="4" borderId="13" xfId="0" applyNumberFormat="1" applyFont="1" applyFill="1" applyBorder="1"/>
    <xf numFmtId="0" fontId="57" fillId="0" borderId="0" xfId="0" applyFont="1"/>
    <xf numFmtId="0" fontId="58" fillId="0" borderId="3" xfId="0" applyFont="1" applyBorder="1"/>
    <xf numFmtId="164" fontId="59" fillId="0" borderId="3" xfId="0" applyNumberFormat="1" applyFont="1" applyBorder="1"/>
    <xf numFmtId="164" fontId="59" fillId="0" borderId="55" xfId="0" applyNumberFormat="1" applyFont="1" applyBorder="1"/>
    <xf numFmtId="164" fontId="59" fillId="0" borderId="37" xfId="0" applyNumberFormat="1" applyFont="1" applyBorder="1"/>
    <xf numFmtId="164" fontId="59" fillId="0" borderId="52" xfId="0" applyNumberFormat="1" applyFont="1" applyBorder="1"/>
    <xf numFmtId="164" fontId="0" fillId="0" borderId="51" xfId="0" applyNumberFormat="1" applyBorder="1"/>
    <xf numFmtId="164" fontId="0" fillId="0" borderId="11" xfId="0" applyNumberFormat="1" applyBorder="1"/>
    <xf numFmtId="164" fontId="0" fillId="0" borderId="7" xfId="0" applyNumberFormat="1" applyBorder="1"/>
    <xf numFmtId="164" fontId="60" fillId="0" borderId="69" xfId="0" applyNumberFormat="1" applyFont="1" applyBorder="1"/>
    <xf numFmtId="164" fontId="60" fillId="0" borderId="13" xfId="0" applyNumberFormat="1" applyFont="1" applyBorder="1"/>
    <xf numFmtId="164" fontId="0" fillId="0" borderId="4" xfId="0" applyNumberFormat="1" applyBorder="1"/>
    <xf numFmtId="0" fontId="0" fillId="0" borderId="1" xfId="0" applyBorder="1"/>
    <xf numFmtId="0" fontId="60" fillId="0" borderId="3" xfId="0" applyFont="1" applyBorder="1"/>
    <xf numFmtId="164" fontId="0" fillId="0" borderId="1" xfId="0" applyNumberFormat="1" applyBorder="1"/>
    <xf numFmtId="164" fontId="60" fillId="0" borderId="3" xfId="0" applyNumberFormat="1" applyFont="1" applyBorder="1"/>
    <xf numFmtId="164" fontId="0" fillId="0" borderId="2" xfId="0" applyNumberFormat="1" applyBorder="1"/>
    <xf numFmtId="164" fontId="0" fillId="0" borderId="32" xfId="0" applyNumberFormat="1" applyBorder="1"/>
    <xf numFmtId="164" fontId="0" fillId="0" borderId="9" xfId="0" applyNumberFormat="1" applyBorder="1"/>
    <xf numFmtId="0" fontId="61" fillId="0" borderId="4" xfId="0" applyFont="1" applyBorder="1"/>
    <xf numFmtId="164" fontId="62" fillId="0" borderId="4" xfId="0" applyNumberFormat="1" applyFont="1" applyBorder="1"/>
    <xf numFmtId="164" fontId="62" fillId="0" borderId="53" xfId="0" applyNumberFormat="1" applyFont="1" applyBorder="1"/>
    <xf numFmtId="164" fontId="62" fillId="0" borderId="10" xfId="0" applyNumberFormat="1" applyFont="1" applyBorder="1"/>
    <xf numFmtId="164" fontId="62" fillId="0" borderId="11" xfId="0" applyNumberFormat="1" applyFont="1" applyBorder="1"/>
    <xf numFmtId="0" fontId="61" fillId="0" borderId="3" xfId="0" applyFont="1" applyBorder="1"/>
    <xf numFmtId="164" fontId="61" fillId="0" borderId="3" xfId="0" applyNumberFormat="1" applyFont="1" applyBorder="1"/>
    <xf numFmtId="164" fontId="61" fillId="0" borderId="69" xfId="0" applyNumberFormat="1" applyFont="1" applyBorder="1"/>
    <xf numFmtId="164" fontId="61" fillId="0" borderId="13" xfId="0" applyNumberFormat="1" applyFont="1" applyBorder="1"/>
    <xf numFmtId="0" fontId="61" fillId="0" borderId="44" xfId="0" applyFont="1" applyBorder="1"/>
    <xf numFmtId="164" fontId="61" fillId="0" borderId="44" xfId="0" applyNumberFormat="1" applyFont="1" applyBorder="1"/>
    <xf numFmtId="164" fontId="61" fillId="0" borderId="70" xfId="0" applyNumberFormat="1" applyFont="1" applyBorder="1"/>
    <xf numFmtId="164" fontId="61" fillId="0" borderId="50" xfId="0" applyNumberFormat="1" applyFont="1" applyBorder="1"/>
    <xf numFmtId="0" fontId="63" fillId="0" borderId="0" xfId="0" applyFont="1"/>
    <xf numFmtId="0" fontId="50" fillId="0" borderId="0" xfId="2" applyFont="1"/>
    <xf numFmtId="0" fontId="51" fillId="0" borderId="0" xfId="2" applyFont="1"/>
    <xf numFmtId="0" fontId="52" fillId="0" borderId="0" xfId="2" applyFont="1"/>
    <xf numFmtId="0" fontId="53" fillId="0" borderId="0" xfId="2" applyFont="1"/>
    <xf numFmtId="0" fontId="8" fillId="5" borderId="5" xfId="0" applyFont="1" applyFill="1" applyBorder="1" applyAlignment="1">
      <alignment horizontal="left"/>
    </xf>
    <xf numFmtId="0" fontId="25" fillId="3" borderId="5" xfId="0" applyFont="1" applyFill="1" applyBorder="1" applyAlignment="1">
      <alignment horizontal="center"/>
    </xf>
    <xf numFmtId="0" fontId="8" fillId="5" borderId="58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/>
    </xf>
    <xf numFmtId="0" fontId="8" fillId="5" borderId="20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left"/>
    </xf>
    <xf numFmtId="0" fontId="46" fillId="6" borderId="38" xfId="0" applyFont="1" applyFill="1" applyBorder="1"/>
    <xf numFmtId="0" fontId="46" fillId="6" borderId="23" xfId="0" applyFont="1" applyFill="1" applyBorder="1"/>
    <xf numFmtId="0" fontId="31" fillId="6" borderId="39" xfId="0" applyFont="1" applyFill="1" applyBorder="1" applyAlignment="1">
      <alignment horizontal="center"/>
    </xf>
    <xf numFmtId="0" fontId="31" fillId="6" borderId="32" xfId="0" applyFont="1" applyFill="1" applyBorder="1" applyAlignment="1">
      <alignment horizontal="center"/>
    </xf>
    <xf numFmtId="0" fontId="17" fillId="6" borderId="41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0" fillId="6" borderId="30" xfId="0" applyFill="1" applyBorder="1"/>
    <xf numFmtId="0" fontId="0" fillId="6" borderId="15" xfId="0" applyFill="1" applyBorder="1"/>
    <xf numFmtId="0" fontId="0" fillId="6" borderId="29" xfId="0" applyFill="1" applyBorder="1"/>
    <xf numFmtId="0" fontId="46" fillId="6" borderId="48" xfId="0" applyFont="1" applyFill="1" applyBorder="1"/>
    <xf numFmtId="0" fontId="46" fillId="6" borderId="41" xfId="0" applyFont="1" applyFill="1" applyBorder="1"/>
    <xf numFmtId="0" fontId="17" fillId="6" borderId="41" xfId="0" applyFont="1" applyFill="1" applyBorder="1" applyAlignment="1">
      <alignment horizontal="center" vertical="top"/>
    </xf>
    <xf numFmtId="0" fontId="17" fillId="6" borderId="41" xfId="0" applyFont="1" applyFill="1" applyBorder="1" applyAlignment="1">
      <alignment horizontal="center" vertical="top" wrapText="1"/>
    </xf>
    <xf numFmtId="0" fontId="46" fillId="6" borderId="16" xfId="0" applyFont="1" applyFill="1" applyBorder="1"/>
    <xf numFmtId="0" fontId="28" fillId="6" borderId="41" xfId="0" applyFont="1" applyFill="1" applyBorder="1" applyAlignment="1">
      <alignment horizontal="center"/>
    </xf>
    <xf numFmtId="0" fontId="55" fillId="6" borderId="44" xfId="0" applyFont="1" applyFill="1" applyBorder="1"/>
    <xf numFmtId="0" fontId="8" fillId="6" borderId="14" xfId="0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/>
    </xf>
    <xf numFmtId="0" fontId="25" fillId="3" borderId="16" xfId="0" applyFont="1" applyFill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164" fontId="64" fillId="0" borderId="1" xfId="0" applyNumberFormat="1" applyFont="1" applyBorder="1"/>
    <xf numFmtId="164" fontId="64" fillId="0" borderId="6" xfId="0" applyNumberFormat="1" applyFont="1" applyBorder="1"/>
    <xf numFmtId="164" fontId="64" fillId="0" borderId="7" xfId="0" applyNumberFormat="1" applyFont="1" applyBorder="1"/>
    <xf numFmtId="164" fontId="19" fillId="0" borderId="2" xfId="0" applyNumberFormat="1" applyFont="1" applyBorder="1"/>
    <xf numFmtId="164" fontId="19" fillId="0" borderId="8" xfId="0" applyNumberFormat="1" applyFont="1" applyBorder="1"/>
    <xf numFmtId="164" fontId="19" fillId="0" borderId="9" xfId="0" applyNumberFormat="1" applyFont="1" applyBorder="1"/>
    <xf numFmtId="164" fontId="19" fillId="0" borderId="3" xfId="0" applyNumberFormat="1" applyFont="1" applyBorder="1"/>
    <xf numFmtId="164" fontId="19" fillId="0" borderId="1" xfId="0" applyNumberFormat="1" applyFont="1" applyBorder="1"/>
    <xf numFmtId="164" fontId="19" fillId="0" borderId="6" xfId="0" applyNumberFormat="1" applyFont="1" applyBorder="1"/>
    <xf numFmtId="164" fontId="19" fillId="0" borderId="7" xfId="0" applyNumberFormat="1" applyFont="1" applyBorder="1"/>
    <xf numFmtId="164" fontId="59" fillId="0" borderId="12" xfId="0" applyNumberFormat="1" applyFont="1" applyBorder="1"/>
    <xf numFmtId="164" fontId="59" fillId="0" borderId="13" xfId="0" applyNumberFormat="1" applyFont="1" applyBorder="1"/>
    <xf numFmtId="0" fontId="58" fillId="0" borderId="44" xfId="0" applyFont="1" applyBorder="1"/>
    <xf numFmtId="164" fontId="59" fillId="0" borderId="49" xfId="0" applyNumberFormat="1" applyFont="1" applyBorder="1"/>
    <xf numFmtId="164" fontId="59" fillId="0" borderId="50" xfId="0" applyNumberFormat="1" applyFont="1" applyBorder="1"/>
    <xf numFmtId="0" fontId="58" fillId="0" borderId="27" xfId="0" applyFont="1" applyBorder="1"/>
    <xf numFmtId="164" fontId="59" fillId="0" borderId="64" xfId="0" applyNumberFormat="1" applyFont="1" applyBorder="1"/>
    <xf numFmtId="164" fontId="59" fillId="0" borderId="66" xfId="0" applyNumberFormat="1" applyFont="1" applyBorder="1"/>
    <xf numFmtId="0" fontId="9" fillId="4" borderId="18" xfId="0" applyFont="1" applyFill="1" applyBorder="1"/>
    <xf numFmtId="0" fontId="4" fillId="0" borderId="3" xfId="0" applyFont="1" applyBorder="1"/>
    <xf numFmtId="164" fontId="19" fillId="0" borderId="55" xfId="0" applyNumberFormat="1" applyFont="1" applyBorder="1"/>
    <xf numFmtId="164" fontId="19" fillId="0" borderId="37" xfId="0" applyNumberFormat="1" applyFont="1" applyBorder="1"/>
    <xf numFmtId="164" fontId="19" fillId="0" borderId="52" xfId="0" applyNumberFormat="1" applyFont="1" applyBorder="1"/>
    <xf numFmtId="164" fontId="10" fillId="0" borderId="59" xfId="0" applyNumberFormat="1" applyFont="1" applyBorder="1"/>
    <xf numFmtId="164" fontId="10" fillId="0" borderId="64" xfId="0" applyNumberFormat="1" applyFont="1" applyBorder="1"/>
    <xf numFmtId="164" fontId="10" fillId="0" borderId="66" xfId="0" applyNumberFormat="1" applyFont="1" applyBorder="1"/>
    <xf numFmtId="164" fontId="10" fillId="0" borderId="4" xfId="0" applyNumberFormat="1" applyFont="1" applyBorder="1"/>
    <xf numFmtId="164" fontId="10" fillId="4" borderId="18" xfId="0" applyNumberFormat="1" applyFont="1" applyFill="1" applyBorder="1"/>
    <xf numFmtId="164" fontId="10" fillId="4" borderId="41" xfId="0" applyNumberFormat="1" applyFont="1" applyFill="1" applyBorder="1"/>
    <xf numFmtId="164" fontId="10" fillId="4" borderId="61" xfId="0" applyNumberFormat="1" applyFont="1" applyFill="1" applyBorder="1"/>
    <xf numFmtId="0" fontId="50" fillId="0" borderId="0" xfId="2" applyFont="1" applyAlignment="1">
      <alignment horizontal="center"/>
    </xf>
    <xf numFmtId="0" fontId="0" fillId="0" borderId="16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1" fillId="0" borderId="0" xfId="2" applyFont="1" applyAlignment="1">
      <alignment horizontal="center"/>
    </xf>
    <xf numFmtId="0" fontId="52" fillId="0" borderId="0" xfId="2" applyFont="1" applyAlignment="1">
      <alignment horizontal="center"/>
    </xf>
    <xf numFmtId="0" fontId="53" fillId="0" borderId="0" xfId="2" applyFont="1" applyAlignment="1">
      <alignment horizontal="center"/>
    </xf>
    <xf numFmtId="0" fontId="31" fillId="6" borderId="45" xfId="0" applyFont="1" applyFill="1" applyBorder="1" applyAlignment="1">
      <alignment horizontal="center"/>
    </xf>
    <xf numFmtId="0" fontId="31" fillId="6" borderId="71" xfId="0" applyFont="1" applyFill="1" applyBorder="1" applyAlignment="1">
      <alignment horizontal="center"/>
    </xf>
    <xf numFmtId="0" fontId="31" fillId="6" borderId="41" xfId="0" applyFont="1" applyFill="1" applyBorder="1" applyAlignment="1">
      <alignment horizontal="center"/>
    </xf>
    <xf numFmtId="0" fontId="17" fillId="6" borderId="48" xfId="0" applyFont="1" applyFill="1" applyBorder="1" applyAlignment="1">
      <alignment horizontal="center" vertical="top" wrapText="1"/>
    </xf>
    <xf numFmtId="0" fontId="17" fillId="6" borderId="71" xfId="0" applyFont="1" applyFill="1" applyBorder="1" applyAlignment="1">
      <alignment horizontal="center" vertical="top" wrapText="1"/>
    </xf>
    <xf numFmtId="0" fontId="17" fillId="6" borderId="41" xfId="0" applyFont="1" applyFill="1" applyBorder="1" applyAlignment="1">
      <alignment horizontal="center" vertical="top" wrapText="1"/>
    </xf>
  </cellXfs>
  <cellStyles count="4">
    <cellStyle name="Hypertextový odkaz" xfId="1" builtinId="8"/>
    <cellStyle name="Normální" xfId="0" builtinId="0"/>
    <cellStyle name="normální_DM_2007_01_Iterace" xfId="2" xr:uid="{00000000-0005-0000-0000-000002000000}"/>
    <cellStyle name="Procenta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AF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showGridLines="0" tabSelected="1" zoomScaleNormal="100" workbookViewId="0">
      <selection sqref="A1:C1"/>
    </sheetView>
  </sheetViews>
  <sheetFormatPr defaultRowHeight="15.75" x14ac:dyDescent="0.25"/>
  <cols>
    <col min="1" max="1" width="3.25" customWidth="1"/>
    <col min="2" max="2" width="15.75" customWidth="1"/>
    <col min="3" max="3" width="57.375" customWidth="1"/>
    <col min="4" max="4" width="8.375" customWidth="1"/>
    <col min="9" max="9" width="4.25" customWidth="1"/>
  </cols>
  <sheetData>
    <row r="1" spans="1:9" ht="11.25" customHeight="1" x14ac:dyDescent="0.25">
      <c r="A1" s="447"/>
      <c r="B1" s="447"/>
      <c r="C1" s="447"/>
    </row>
    <row r="2" spans="1:9" x14ac:dyDescent="0.25">
      <c r="A2" s="445" t="s">
        <v>276</v>
      </c>
      <c r="B2" s="445"/>
      <c r="C2" s="445"/>
      <c r="D2" s="383"/>
      <c r="E2" s="383"/>
      <c r="F2" s="383"/>
      <c r="G2" s="383"/>
      <c r="H2" s="383"/>
      <c r="I2" s="383"/>
    </row>
    <row r="3" spans="1:9" ht="18" x14ac:dyDescent="0.25">
      <c r="A3" s="448" t="s">
        <v>273</v>
      </c>
      <c r="B3" s="448"/>
      <c r="C3" s="448"/>
      <c r="D3" s="384"/>
      <c r="E3" s="384"/>
      <c r="F3" s="384"/>
      <c r="G3" s="384"/>
      <c r="H3" s="384"/>
      <c r="I3" s="384"/>
    </row>
    <row r="4" spans="1:9" x14ac:dyDescent="0.25">
      <c r="A4" s="449" t="s">
        <v>310</v>
      </c>
      <c r="B4" s="449"/>
      <c r="C4" s="449"/>
      <c r="D4" s="385"/>
      <c r="E4" s="385"/>
      <c r="F4" s="385"/>
      <c r="G4" s="385"/>
      <c r="H4" s="385"/>
      <c r="I4" s="385"/>
    </row>
    <row r="5" spans="1:9" ht="21.75" customHeight="1" x14ac:dyDescent="0.25">
      <c r="A5" s="445" t="s">
        <v>272</v>
      </c>
      <c r="B5" s="445"/>
      <c r="C5" s="445"/>
      <c r="D5" s="383"/>
      <c r="E5" s="383"/>
      <c r="F5" s="383"/>
      <c r="G5" s="383"/>
      <c r="H5" s="383"/>
      <c r="I5" s="383"/>
    </row>
    <row r="6" spans="1:9" x14ac:dyDescent="0.25">
      <c r="A6" s="450" t="s">
        <v>274</v>
      </c>
      <c r="B6" s="450"/>
      <c r="C6" s="450"/>
      <c r="D6" s="386"/>
      <c r="E6" s="386"/>
      <c r="F6" s="386"/>
      <c r="G6" s="386"/>
      <c r="H6" s="386"/>
      <c r="I6" s="386"/>
    </row>
    <row r="7" spans="1:9" x14ac:dyDescent="0.25">
      <c r="A7" s="445" t="s">
        <v>275</v>
      </c>
      <c r="B7" s="445"/>
      <c r="C7" s="445"/>
      <c r="D7" s="383"/>
      <c r="E7" s="383"/>
      <c r="F7" s="383"/>
      <c r="G7" s="383"/>
      <c r="H7" s="383"/>
      <c r="I7" s="383"/>
    </row>
    <row r="8" spans="1:9" ht="20.25" customHeight="1" x14ac:dyDescent="0.25">
      <c r="A8" s="445" t="s">
        <v>277</v>
      </c>
      <c r="B8" s="445"/>
      <c r="C8" s="445"/>
      <c r="D8" s="383"/>
      <c r="E8" s="383"/>
      <c r="F8" s="383"/>
      <c r="G8" s="383"/>
      <c r="H8" s="383"/>
      <c r="I8" s="383"/>
    </row>
    <row r="9" spans="1:9" ht="14.25" customHeight="1" x14ac:dyDescent="0.25">
      <c r="A9" s="2"/>
    </row>
    <row r="10" spans="1:9" x14ac:dyDescent="0.25">
      <c r="A10" t="s">
        <v>176</v>
      </c>
    </row>
    <row r="11" spans="1:9" x14ac:dyDescent="0.25">
      <c r="A11" t="s">
        <v>177</v>
      </c>
      <c r="B11" s="68"/>
      <c r="C11" s="67"/>
    </row>
    <row r="12" spans="1:9" x14ac:dyDescent="0.25">
      <c r="A12" s="214" t="str">
        <f>"Ocenění bude provedeno k 1. 1. "&amp;FIXED(rok+1,0,1)</f>
        <v>Ocenění bude provedeno k 1. 1. 2023</v>
      </c>
      <c r="B12" s="68"/>
      <c r="D12" s="101"/>
    </row>
    <row r="13" spans="1:9" ht="15" customHeight="1" x14ac:dyDescent="0.25"/>
    <row r="14" spans="1:9" x14ac:dyDescent="0.25">
      <c r="A14" s="215" t="s">
        <v>178</v>
      </c>
      <c r="B14" s="3"/>
      <c r="C14" s="67"/>
    </row>
    <row r="15" spans="1:9" x14ac:dyDescent="0.25">
      <c r="A15" s="215" t="s">
        <v>270</v>
      </c>
      <c r="B15" s="100"/>
    </row>
    <row r="16" spans="1:9" x14ac:dyDescent="0.25">
      <c r="A16" s="215" t="s">
        <v>271</v>
      </c>
      <c r="B16" s="100"/>
    </row>
    <row r="17" spans="1:3" x14ac:dyDescent="0.25">
      <c r="A17" s="215"/>
      <c r="B17" s="4"/>
    </row>
    <row r="18" spans="1:3" x14ac:dyDescent="0.25">
      <c r="A18" s="216" t="s">
        <v>179</v>
      </c>
      <c r="B18" s="4"/>
    </row>
    <row r="19" spans="1:3" x14ac:dyDescent="0.25">
      <c r="A19" s="216" t="s">
        <v>180</v>
      </c>
    </row>
    <row r="20" spans="1:3" x14ac:dyDescent="0.25">
      <c r="A20" s="216" t="s">
        <v>181</v>
      </c>
    </row>
    <row r="22" spans="1:3" x14ac:dyDescent="0.25">
      <c r="A22" s="222" t="s">
        <v>182</v>
      </c>
      <c r="B22" s="223"/>
      <c r="C22" s="224" t="s">
        <v>183</v>
      </c>
    </row>
    <row r="23" spans="1:3" x14ac:dyDescent="0.25">
      <c r="A23" s="217" t="s">
        <v>189</v>
      </c>
      <c r="B23" s="213"/>
      <c r="C23" s="213"/>
    </row>
    <row r="24" spans="1:3" x14ac:dyDescent="0.25">
      <c r="A24" s="218">
        <v>1</v>
      </c>
      <c r="B24" s="219" t="s">
        <v>184</v>
      </c>
      <c r="C24" s="446" t="s">
        <v>195</v>
      </c>
    </row>
    <row r="25" spans="1:3" x14ac:dyDescent="0.25">
      <c r="A25" s="218">
        <v>2</v>
      </c>
      <c r="B25" s="220" t="s">
        <v>185</v>
      </c>
      <c r="C25" s="446"/>
    </row>
    <row r="26" spans="1:3" x14ac:dyDescent="0.25">
      <c r="A26" s="218">
        <v>3</v>
      </c>
      <c r="B26" s="220" t="s">
        <v>186</v>
      </c>
      <c r="C26" s="446"/>
    </row>
    <row r="27" spans="1:3" x14ac:dyDescent="0.25">
      <c r="A27" s="218">
        <v>4</v>
      </c>
      <c r="B27" s="220" t="s">
        <v>187</v>
      </c>
      <c r="C27" s="446"/>
    </row>
    <row r="28" spans="1:3" x14ac:dyDescent="0.25">
      <c r="A28" s="218">
        <v>5</v>
      </c>
      <c r="B28" s="220" t="s">
        <v>188</v>
      </c>
      <c r="C28" s="43" t="s">
        <v>196</v>
      </c>
    </row>
    <row r="29" spans="1:3" x14ac:dyDescent="0.25">
      <c r="A29" s="217" t="s">
        <v>190</v>
      </c>
    </row>
    <row r="30" spans="1:3" x14ac:dyDescent="0.25">
      <c r="A30" s="218">
        <v>6</v>
      </c>
      <c r="B30" s="220" t="s">
        <v>192</v>
      </c>
      <c r="C30" s="43" t="s">
        <v>197</v>
      </c>
    </row>
    <row r="31" spans="1:3" x14ac:dyDescent="0.25">
      <c r="A31" s="218">
        <v>7</v>
      </c>
      <c r="B31" s="220" t="s">
        <v>137</v>
      </c>
      <c r="C31" s="43" t="s">
        <v>198</v>
      </c>
    </row>
    <row r="32" spans="1:3" x14ac:dyDescent="0.25">
      <c r="A32" s="217" t="s">
        <v>191</v>
      </c>
    </row>
    <row r="33" spans="1:4" x14ac:dyDescent="0.25">
      <c r="A33" s="218">
        <v>8</v>
      </c>
      <c r="B33" s="220" t="s">
        <v>193</v>
      </c>
      <c r="C33" s="43" t="s">
        <v>199</v>
      </c>
    </row>
    <row r="34" spans="1:4" x14ac:dyDescent="0.25">
      <c r="A34" s="218">
        <v>9</v>
      </c>
      <c r="B34" s="220" t="s">
        <v>105</v>
      </c>
      <c r="C34" s="43" t="s">
        <v>200</v>
      </c>
    </row>
    <row r="35" spans="1:4" x14ac:dyDescent="0.25">
      <c r="A35" s="218">
        <v>10</v>
      </c>
      <c r="B35" s="220" t="s">
        <v>79</v>
      </c>
      <c r="C35" s="43" t="s">
        <v>201</v>
      </c>
    </row>
    <row r="36" spans="1:4" x14ac:dyDescent="0.25">
      <c r="A36" s="218">
        <v>11</v>
      </c>
      <c r="B36" s="220" t="s">
        <v>85</v>
      </c>
      <c r="C36" s="43" t="s">
        <v>202</v>
      </c>
    </row>
    <row r="37" spans="1:4" x14ac:dyDescent="0.25">
      <c r="A37" s="218">
        <v>12</v>
      </c>
      <c r="B37" s="220" t="s">
        <v>194</v>
      </c>
      <c r="C37" s="43" t="s">
        <v>267</v>
      </c>
    </row>
    <row r="38" spans="1:4" x14ac:dyDescent="0.25">
      <c r="A38" s="217" t="s">
        <v>268</v>
      </c>
      <c r="B38" s="213"/>
      <c r="C38" s="213"/>
    </row>
    <row r="39" spans="1:4" x14ac:dyDescent="0.25">
      <c r="A39" s="218">
        <v>13</v>
      </c>
      <c r="B39" s="219" t="s">
        <v>186</v>
      </c>
      <c r="C39" s="446" t="s">
        <v>269</v>
      </c>
    </row>
    <row r="40" spans="1:4" x14ac:dyDescent="0.25">
      <c r="A40" s="218">
        <v>14</v>
      </c>
      <c r="B40" s="220" t="s">
        <v>187</v>
      </c>
      <c r="C40" s="446"/>
    </row>
    <row r="41" spans="1:4" x14ac:dyDescent="0.25">
      <c r="A41" s="218">
        <v>15</v>
      </c>
      <c r="B41" s="220" t="s">
        <v>184</v>
      </c>
      <c r="C41" s="446"/>
    </row>
    <row r="42" spans="1:4" x14ac:dyDescent="0.25">
      <c r="A42" s="218">
        <v>16</v>
      </c>
      <c r="B42" s="220" t="s">
        <v>185</v>
      </c>
      <c r="C42" s="446"/>
    </row>
    <row r="45" spans="1:4" ht="15.75" hidden="1" customHeight="1" x14ac:dyDescent="0.25">
      <c r="B45" t="s">
        <v>1</v>
      </c>
      <c r="C45">
        <v>2022</v>
      </c>
    </row>
    <row r="46" spans="1:4" ht="15.75" hidden="1" customHeight="1" x14ac:dyDescent="0.25"/>
    <row r="47" spans="1:4" hidden="1" x14ac:dyDescent="0.25">
      <c r="B47" s="7" t="s">
        <v>2</v>
      </c>
      <c r="C47" s="7"/>
      <c r="D47" s="19">
        <v>0.05</v>
      </c>
    </row>
    <row r="48" spans="1:4" hidden="1" x14ac:dyDescent="0.25">
      <c r="B48" s="7" t="s">
        <v>3</v>
      </c>
      <c r="C48" s="7"/>
      <c r="D48" s="19">
        <v>0.03</v>
      </c>
    </row>
    <row r="49" spans="2:4" hidden="1" x14ac:dyDescent="0.25">
      <c r="B49" s="7" t="s">
        <v>4</v>
      </c>
      <c r="C49" s="7"/>
      <c r="D49" s="19">
        <v>0.04</v>
      </c>
    </row>
    <row r="50" spans="2:4" hidden="1" x14ac:dyDescent="0.25">
      <c r="B50" s="7" t="s">
        <v>5</v>
      </c>
      <c r="C50" s="7"/>
      <c r="D50" s="19">
        <v>0.05</v>
      </c>
    </row>
  </sheetData>
  <mergeCells count="10">
    <mergeCell ref="A2:C2"/>
    <mergeCell ref="C24:C27"/>
    <mergeCell ref="C39:C42"/>
    <mergeCell ref="A1:C1"/>
    <mergeCell ref="A7:C7"/>
    <mergeCell ref="A8:C8"/>
    <mergeCell ref="A3:C3"/>
    <mergeCell ref="A4:C4"/>
    <mergeCell ref="A5:C5"/>
    <mergeCell ref="A6:C6"/>
  </mergeCells>
  <phoneticPr fontId="0" type="noConversion"/>
  <hyperlinks>
    <hyperlink ref="B24" location="'1 Aktiva'!A1" display="Aktiva" xr:uid="{00000000-0004-0000-0000-000000000000}"/>
    <hyperlink ref="B25" location="'2 Pasiva'!A1" display="Pasiva" xr:uid="{00000000-0004-0000-0000-000001000000}"/>
    <hyperlink ref="B26" location="'3 Výsledovka'!A1" display="Výsledovka" xr:uid="{00000000-0004-0000-0000-000002000000}"/>
    <hyperlink ref="B27" location="'4 Cash flow'!A1" display="Cash flow" xr:uid="{00000000-0004-0000-0000-000003000000}"/>
    <hyperlink ref="B28" location="'5 Informace'!A1" display="Informace" xr:uid="{00000000-0004-0000-0000-000004000000}"/>
    <hyperlink ref="B30" location="'6 Marketing'!A1" display="Marketing" xr:uid="{00000000-0004-0000-0000-000005000000}"/>
    <hyperlink ref="B31" location="'7 Leasing'!A1" display="Leasing" xr:uid="{00000000-0004-0000-0000-000006000000}"/>
    <hyperlink ref="B33" location="'8 NOA'!A1" display="NOA" xr:uid="{00000000-0004-0000-0000-000007000000}"/>
    <hyperlink ref="B34" location="'9 NOPAT'!A1" display="NOPAT" xr:uid="{00000000-0004-0000-0000-000008000000}"/>
    <hyperlink ref="B35" location="'10 WACC'!A1" display="WACC" xr:uid="{00000000-0004-0000-0000-000009000000}"/>
    <hyperlink ref="B36" location="'11 EVA'!A1" display="EVA" xr:uid="{00000000-0004-0000-0000-00000A000000}"/>
    <hyperlink ref="B37" location="'12 DCF'!A1" display="DCF" xr:uid="{00000000-0004-0000-0000-00000B000000}"/>
    <hyperlink ref="B39" location="'13 Výsledovka upravená'!A1" display="Výsledovka" xr:uid="{00000000-0004-0000-0000-00000C000000}"/>
    <hyperlink ref="B40" location="'14 Cash flow upravené'!A1" display="Cash flow" xr:uid="{00000000-0004-0000-0000-00000D000000}"/>
    <hyperlink ref="B41" location="'15 Aktiva upravená'!A1" display="Aktiva" xr:uid="{00000000-0004-0000-0000-00000E000000}"/>
    <hyperlink ref="B42" location="'16 Pasiva upravená'!A1" display="Pasiva" xr:uid="{00000000-0004-0000-0000-00000F000000}"/>
  </hyperlinks>
  <printOptions horizontalCentered="1" gridLinesSet="0"/>
  <pageMargins left="0.59055118110236227" right="0.59055118110236227" top="1.1811023622047245" bottom="0.98425196850393704" header="0.51181102362204722" footer="0.51181102362204722"/>
  <pageSetup paperSize="9" orientation="portrait" r:id="rId1"/>
  <headerFooter alignWithMargins="0">
    <oddHeader>&amp;L&amp;"Arial CE,Obyčejné"&amp;10Mařík, M. a kol.: Metody oceňování podniku pro pokročilé
Ekopress 2023&amp;R&amp;"Arial CE,Obyčejné"&amp;10Komplexní příklad EVA</oddHeader>
    <oddFooter>&amp;C&amp;A&amp;R&amp;"Arial CE,Kurzíva"&amp;10© M. Mařík, P. Maříková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15"/>
  <sheetViews>
    <sheetView showGridLines="0" workbookViewId="0"/>
  </sheetViews>
  <sheetFormatPr defaultRowHeight="15.75" x14ac:dyDescent="0.25"/>
  <cols>
    <col min="1" max="1" width="37.25" customWidth="1"/>
    <col min="2" max="2" width="9.25" customWidth="1"/>
    <col min="3" max="6" width="8.125" customWidth="1"/>
    <col min="7" max="7" width="8.25" customWidth="1"/>
    <col min="8" max="8" width="3" customWidth="1"/>
  </cols>
  <sheetData>
    <row r="1" spans="1:6" x14ac:dyDescent="0.25">
      <c r="F1" s="221" t="s">
        <v>203</v>
      </c>
    </row>
    <row r="2" spans="1:6" x14ac:dyDescent="0.25">
      <c r="A2" s="256" t="s">
        <v>175</v>
      </c>
    </row>
    <row r="3" spans="1:6" x14ac:dyDescent="0.25">
      <c r="A3" s="6"/>
    </row>
    <row r="4" spans="1:6" x14ac:dyDescent="0.25">
      <c r="A4" s="5" t="s">
        <v>80</v>
      </c>
    </row>
    <row r="5" spans="1:6" x14ac:dyDescent="0.25">
      <c r="A5" s="150" t="str">
        <f>"Výsledky hospodaření v roce "&amp;FIXED(rok+4,0,1)&amp;" budou stejné jako v roce "&amp;FIXED(rok+3,0,1)&amp;", ale již se v nich"</f>
        <v>Výsledky hospodaření v roce 2026 budou stejné jako v roce 2025, ale již se v nich</v>
      </c>
    </row>
    <row r="6" spans="1:6" x14ac:dyDescent="0.25">
      <c r="A6" s="150" t="s">
        <v>81</v>
      </c>
    </row>
    <row r="7" spans="1:6" ht="31.5" x14ac:dyDescent="0.25">
      <c r="A7" s="403"/>
      <c r="B7" s="404"/>
      <c r="C7" s="405">
        <f>rok+1</f>
        <v>2023</v>
      </c>
      <c r="D7" s="405">
        <f>C7+1</f>
        <v>2024</v>
      </c>
      <c r="E7" s="405">
        <f>D7+1</f>
        <v>2025</v>
      </c>
      <c r="F7" s="406" t="str">
        <f>FIXED(E7+1,0,1)&amp;" 2.fáze"</f>
        <v>2026 2.fáze</v>
      </c>
    </row>
    <row r="8" spans="1:6" x14ac:dyDescent="0.25">
      <c r="A8" s="95" t="s">
        <v>110</v>
      </c>
      <c r="B8" s="96"/>
      <c r="C8" s="86">
        <f>'3 Výsledovka'!C10</f>
        <v>23984.600000000006</v>
      </c>
      <c r="D8" s="86">
        <f>'3 Výsledovka'!D10</f>
        <v>23466</v>
      </c>
      <c r="E8" s="86">
        <f>'3 Výsledovka'!E10</f>
        <v>29477</v>
      </c>
      <c r="F8" s="86">
        <f>E8</f>
        <v>29477</v>
      </c>
    </row>
    <row r="9" spans="1:6" x14ac:dyDescent="0.25">
      <c r="A9" s="155" t="s">
        <v>135</v>
      </c>
      <c r="B9" s="156"/>
      <c r="C9" s="157">
        <f>'6 Marketing'!C11</f>
        <v>3600</v>
      </c>
      <c r="D9" s="157">
        <f>'6 Marketing'!D11</f>
        <v>0</v>
      </c>
      <c r="E9" s="157">
        <f>'6 Marketing'!E11</f>
        <v>0</v>
      </c>
      <c r="F9" s="157">
        <v>0</v>
      </c>
    </row>
    <row r="10" spans="1:6" x14ac:dyDescent="0.25">
      <c r="A10" s="95" t="s">
        <v>136</v>
      </c>
      <c r="B10" s="96"/>
      <c r="C10" s="86">
        <f>-'6 Marketing'!C14</f>
        <v>-2030</v>
      </c>
      <c r="D10" s="86">
        <f>-'6 Marketing'!D14</f>
        <v>-2030</v>
      </c>
      <c r="E10" s="86">
        <f>-'6 Marketing'!E14</f>
        <v>-1200</v>
      </c>
      <c r="F10" s="86">
        <v>0</v>
      </c>
    </row>
    <row r="11" spans="1:6" x14ac:dyDescent="0.25">
      <c r="A11" s="167" t="s">
        <v>140</v>
      </c>
      <c r="B11" s="227"/>
      <c r="C11" s="44">
        <f>-'7 Leasing'!B30</f>
        <v>-6196.5</v>
      </c>
      <c r="D11" s="114">
        <f>-'7 Leasing'!C30</f>
        <v>-6196.5</v>
      </c>
      <c r="E11" s="114">
        <f>-'7 Leasing'!D30</f>
        <v>-6196.5</v>
      </c>
      <c r="F11" s="114">
        <v>0</v>
      </c>
    </row>
    <row r="12" spans="1:6" x14ac:dyDescent="0.25">
      <c r="A12" s="97" t="s">
        <v>156</v>
      </c>
      <c r="B12" s="98"/>
      <c r="C12" s="87">
        <f>SUM(C8:C11)</f>
        <v>19358.100000000006</v>
      </c>
      <c r="D12" s="87">
        <f>SUM(D8:D11)</f>
        <v>15239.5</v>
      </c>
      <c r="E12" s="87">
        <f>SUM(E8:E11)</f>
        <v>22080.5</v>
      </c>
      <c r="F12" s="87">
        <f>SUM(F8:F11)</f>
        <v>29477</v>
      </c>
    </row>
    <row r="13" spans="1:6" x14ac:dyDescent="0.25">
      <c r="A13" s="95" t="s">
        <v>82</v>
      </c>
      <c r="B13" s="99">
        <f>'3 Výsledovka'!C5</f>
        <v>0.19</v>
      </c>
      <c r="C13" s="86">
        <f>$B$13*C12</f>
        <v>3678.0390000000011</v>
      </c>
      <c r="D13" s="86">
        <f>$B$13*D12</f>
        <v>2895.5050000000001</v>
      </c>
      <c r="E13" s="86">
        <f>$B$13*E12</f>
        <v>4195.2950000000001</v>
      </c>
      <c r="F13" s="86">
        <f>$B$13*F12</f>
        <v>5600.63</v>
      </c>
    </row>
    <row r="14" spans="1:6" x14ac:dyDescent="0.25">
      <c r="A14" s="189" t="s">
        <v>159</v>
      </c>
      <c r="B14" s="190"/>
      <c r="C14" s="191">
        <f>C12-C13</f>
        <v>15680.061000000005</v>
      </c>
      <c r="D14" s="191">
        <f>D12-D13</f>
        <v>12343.994999999999</v>
      </c>
      <c r="E14" s="191">
        <f>E12-E13</f>
        <v>17885.205000000002</v>
      </c>
      <c r="F14" s="191">
        <f>F12-F13</f>
        <v>23876.37</v>
      </c>
    </row>
    <row r="15" spans="1:6" x14ac:dyDescent="0.25">
      <c r="C15" s="122"/>
    </row>
  </sheetData>
  <phoneticPr fontId="0" type="noConversion"/>
  <hyperlinks>
    <hyperlink ref="F1" location="Obsah!A1" display="Skok na obsah" xr:uid="{00000000-0004-0000-0900-000000000000}"/>
  </hyperlinks>
  <printOptions horizontalCentered="1" gridLinesSet="0"/>
  <pageMargins left="0.59055118110236227" right="0.59055118110236227" top="1.1811023622047245" bottom="0.98425196850393704" header="0.51181102362204722" footer="0.51181102362204722"/>
  <pageSetup paperSize="9" orientation="portrait" r:id="rId1"/>
  <headerFooter alignWithMargins="0">
    <oddHeader>&amp;L&amp;"Arial CE,Obyčejné"&amp;10Mařík, M. a kol.: Metody oceňování podniku pro pokročilé
Ekopress 2023&amp;R&amp;"Arial CE,Obyčejné"&amp;10Komplexní příklad EVA</oddHeader>
    <oddFooter>&amp;C&amp;A&amp;R&amp;"Arial CE,Kurzíva"&amp;10© M. Mařík, P. Maříková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32"/>
  <sheetViews>
    <sheetView showGridLines="0" workbookViewId="0"/>
  </sheetViews>
  <sheetFormatPr defaultRowHeight="15.75" x14ac:dyDescent="0.25"/>
  <cols>
    <col min="1" max="1" width="40.625" customWidth="1"/>
    <col min="2" max="5" width="8.125" customWidth="1"/>
  </cols>
  <sheetData>
    <row r="1" spans="1:5" x14ac:dyDescent="0.25">
      <c r="E1" s="221" t="s">
        <v>203</v>
      </c>
    </row>
    <row r="2" spans="1:5" x14ac:dyDescent="0.25">
      <c r="A2" s="256" t="s">
        <v>58</v>
      </c>
    </row>
    <row r="3" spans="1:5" ht="18" customHeight="1" x14ac:dyDescent="0.25">
      <c r="A3" s="142" t="s">
        <v>59</v>
      </c>
    </row>
    <row r="4" spans="1:5" x14ac:dyDescent="0.25">
      <c r="A4" s="120" t="s">
        <v>104</v>
      </c>
      <c r="B4" s="143">
        <f>'3 Výsledovka'!C5</f>
        <v>0.19</v>
      </c>
    </row>
    <row r="5" spans="1:5" x14ac:dyDescent="0.25">
      <c r="A5" s="120" t="s">
        <v>60</v>
      </c>
      <c r="B5" s="143">
        <v>0.15</v>
      </c>
    </row>
    <row r="6" spans="1:5" x14ac:dyDescent="0.25">
      <c r="A6" s="407"/>
      <c r="B6" s="408">
        <f>rok+1</f>
        <v>2023</v>
      </c>
      <c r="C6" s="408">
        <f>B6+1</f>
        <v>2024</v>
      </c>
      <c r="D6" s="408">
        <f>C6+1</f>
        <v>2025</v>
      </c>
      <c r="E6" s="408">
        <f>D6+1</f>
        <v>2026</v>
      </c>
    </row>
    <row r="7" spans="1:5" x14ac:dyDescent="0.25">
      <c r="A7" s="144" t="s">
        <v>72</v>
      </c>
      <c r="B7" s="145"/>
      <c r="C7" s="145"/>
      <c r="D7" s="145"/>
      <c r="E7" s="145"/>
    </row>
    <row r="8" spans="1:5" x14ac:dyDescent="0.25">
      <c r="A8" s="83" t="s">
        <v>61</v>
      </c>
      <c r="B8" s="76">
        <v>1500</v>
      </c>
      <c r="C8" s="76">
        <v>1600</v>
      </c>
      <c r="D8" s="76">
        <v>1700</v>
      </c>
      <c r="E8" s="76">
        <v>1800</v>
      </c>
    </row>
    <row r="9" spans="1:5" x14ac:dyDescent="0.25">
      <c r="A9" s="84" t="s">
        <v>62</v>
      </c>
      <c r="B9" s="75">
        <f>'2 Pasiva'!B7/250</f>
        <v>80</v>
      </c>
      <c r="C9" s="75">
        <f>'2 Pasiva'!C7/250</f>
        <v>80</v>
      </c>
      <c r="D9" s="75">
        <f>'2 Pasiva'!D7/250</f>
        <v>80</v>
      </c>
      <c r="E9" s="75">
        <f>D9</f>
        <v>80</v>
      </c>
    </row>
    <row r="10" spans="1:5" x14ac:dyDescent="0.25">
      <c r="A10" s="146" t="s">
        <v>73</v>
      </c>
      <c r="B10" s="151">
        <f>B8*B9</f>
        <v>120000</v>
      </c>
      <c r="C10" s="151">
        <f>C8*C9</f>
        <v>128000</v>
      </c>
      <c r="D10" s="151">
        <f>D8*D9</f>
        <v>136000</v>
      </c>
      <c r="E10" s="151">
        <f>E8*E9</f>
        <v>144000</v>
      </c>
    </row>
    <row r="11" spans="1:5" x14ac:dyDescent="0.25">
      <c r="A11" s="146" t="s">
        <v>74</v>
      </c>
      <c r="B11" s="152">
        <f>$B$5</f>
        <v>0.15</v>
      </c>
      <c r="C11" s="152">
        <f>$B$5</f>
        <v>0.15</v>
      </c>
      <c r="D11" s="152">
        <f>$B$5</f>
        <v>0.15</v>
      </c>
      <c r="E11" s="152">
        <f>$B$5</f>
        <v>0.15</v>
      </c>
    </row>
    <row r="12" spans="1:5" x14ac:dyDescent="0.25">
      <c r="A12" s="144" t="s">
        <v>63</v>
      </c>
      <c r="B12" s="145"/>
      <c r="C12" s="145"/>
      <c r="D12" s="145"/>
      <c r="E12" s="145"/>
    </row>
    <row r="13" spans="1:5" x14ac:dyDescent="0.25">
      <c r="A13" s="83" t="s">
        <v>64</v>
      </c>
      <c r="B13" s="76">
        <f>'2 Pasiva'!B14</f>
        <v>8000</v>
      </c>
      <c r="C13" s="76">
        <f>'2 Pasiva'!C14</f>
        <v>8000</v>
      </c>
      <c r="D13" s="76">
        <f>'2 Pasiva'!D14</f>
        <v>8000</v>
      </c>
      <c r="E13" s="76">
        <f>D13</f>
        <v>8000</v>
      </c>
    </row>
    <row r="14" spans="1:5" x14ac:dyDescent="0.25">
      <c r="A14" s="83" t="s">
        <v>65</v>
      </c>
      <c r="B14" s="76">
        <f>'2 Pasiva'!B15</f>
        <v>28773</v>
      </c>
      <c r="C14" s="76">
        <f>'2 Pasiva'!C15</f>
        <v>33307</v>
      </c>
      <c r="D14" s="76">
        <f>'2 Pasiva'!D15</f>
        <v>35796</v>
      </c>
      <c r="E14" s="76">
        <f>D14</f>
        <v>35796</v>
      </c>
    </row>
    <row r="15" spans="1:5" x14ac:dyDescent="0.25">
      <c r="A15" s="84" t="s">
        <v>66</v>
      </c>
      <c r="B15" s="75">
        <f>'8 NOA'!G9</f>
        <v>19247.412253739109</v>
      </c>
      <c r="C15" s="75">
        <f>'8 NOA'!H9</f>
        <v>12711.893851479765</v>
      </c>
      <c r="D15" s="75">
        <f>'8 NOA'!I9</f>
        <v>0</v>
      </c>
      <c r="E15" s="75">
        <f>'8 NOA'!J9</f>
        <v>0</v>
      </c>
    </row>
    <row r="16" spans="1:5" x14ac:dyDescent="0.25">
      <c r="A16" s="146" t="s">
        <v>67</v>
      </c>
      <c r="B16" s="147">
        <f>SUM(B13:B15)</f>
        <v>56020.412253739109</v>
      </c>
      <c r="C16" s="147">
        <f>SUM(C13:C15)</f>
        <v>54018.893851479763</v>
      </c>
      <c r="D16" s="147">
        <f>SUM(D13:D15)</f>
        <v>43796</v>
      </c>
      <c r="E16" s="147">
        <f>SUM(E13:E15)</f>
        <v>43796</v>
      </c>
    </row>
    <row r="17" spans="1:5" x14ac:dyDescent="0.25">
      <c r="A17" s="83" t="s">
        <v>141</v>
      </c>
      <c r="B17" s="81">
        <f>B13/B$16</f>
        <v>0.14280508975486941</v>
      </c>
      <c r="C17" s="81">
        <f>C13/C$16</f>
        <v>0.14809633129466335</v>
      </c>
      <c r="D17" s="81">
        <f>D13/D$16</f>
        <v>0.18266508356927574</v>
      </c>
      <c r="E17" s="81">
        <f>E13/E$16</f>
        <v>0.18266508356927574</v>
      </c>
    </row>
    <row r="18" spans="1:5" x14ac:dyDescent="0.25">
      <c r="A18" s="83" t="s">
        <v>68</v>
      </c>
      <c r="B18" s="81">
        <f t="shared" ref="B18:E19" si="0">B14/B$16</f>
        <v>0.51361635593960719</v>
      </c>
      <c r="C18" s="81">
        <f t="shared" si="0"/>
        <v>0.61658056330391897</v>
      </c>
      <c r="D18" s="81">
        <f t="shared" si="0"/>
        <v>0.81733491643072431</v>
      </c>
      <c r="E18" s="81">
        <f t="shared" si="0"/>
        <v>0.81733491643072431</v>
      </c>
    </row>
    <row r="19" spans="1:5" x14ac:dyDescent="0.25">
      <c r="A19" s="83" t="s">
        <v>69</v>
      </c>
      <c r="B19" s="81">
        <f t="shared" si="0"/>
        <v>0.34357855430552336</v>
      </c>
      <c r="C19" s="81">
        <f t="shared" si="0"/>
        <v>0.23532310540141765</v>
      </c>
      <c r="D19" s="81">
        <f t="shared" si="0"/>
        <v>0</v>
      </c>
      <c r="E19" s="81">
        <f t="shared" si="0"/>
        <v>0</v>
      </c>
    </row>
    <row r="20" spans="1:5" x14ac:dyDescent="0.25">
      <c r="A20" s="93" t="s">
        <v>160</v>
      </c>
      <c r="B20" s="94">
        <f>Obsah!$D$49</f>
        <v>0.04</v>
      </c>
      <c r="C20" s="94">
        <f t="shared" ref="C20:E21" si="1">B20</f>
        <v>0.04</v>
      </c>
      <c r="D20" s="94">
        <f t="shared" si="1"/>
        <v>0.04</v>
      </c>
      <c r="E20" s="94">
        <f t="shared" si="1"/>
        <v>0.04</v>
      </c>
    </row>
    <row r="21" spans="1:5" x14ac:dyDescent="0.25">
      <c r="A21" s="83" t="s">
        <v>68</v>
      </c>
      <c r="B21" s="81">
        <f>Obsah!$D$50</f>
        <v>0.05</v>
      </c>
      <c r="C21" s="81">
        <f t="shared" si="1"/>
        <v>0.05</v>
      </c>
      <c r="D21" s="81">
        <f t="shared" si="1"/>
        <v>0.05</v>
      </c>
      <c r="E21" s="81">
        <f t="shared" si="1"/>
        <v>0.05</v>
      </c>
    </row>
    <row r="22" spans="1:5" x14ac:dyDescent="0.25">
      <c r="A22" s="84" t="s">
        <v>69</v>
      </c>
      <c r="B22" s="82">
        <f>'7 Leasing'!$B$19</f>
        <v>0.17999726675296968</v>
      </c>
      <c r="C22" s="82">
        <f>'7 Leasing'!$B$19</f>
        <v>0.17999726675296968</v>
      </c>
      <c r="D22" s="82">
        <f>'7 Leasing'!$B$19</f>
        <v>0.17999726675296968</v>
      </c>
      <c r="E22" s="82">
        <f>'7 Leasing'!$B$19</f>
        <v>0.17999726675296968</v>
      </c>
    </row>
    <row r="23" spans="1:5" x14ac:dyDescent="0.25">
      <c r="A23" s="93" t="s">
        <v>70</v>
      </c>
      <c r="B23" s="81">
        <f t="shared" ref="B23:E25" si="2">B20*(1-$B$4)</f>
        <v>3.2400000000000005E-2</v>
      </c>
      <c r="C23" s="81">
        <f t="shared" si="2"/>
        <v>3.2400000000000005E-2</v>
      </c>
      <c r="D23" s="81">
        <f t="shared" si="2"/>
        <v>3.2400000000000005E-2</v>
      </c>
      <c r="E23" s="81">
        <f t="shared" si="2"/>
        <v>3.2400000000000005E-2</v>
      </c>
    </row>
    <row r="24" spans="1:5" x14ac:dyDescent="0.25">
      <c r="A24" s="83" t="s">
        <v>68</v>
      </c>
      <c r="B24" s="81">
        <f t="shared" si="2"/>
        <v>4.0500000000000008E-2</v>
      </c>
      <c r="C24" s="81">
        <f t="shared" si="2"/>
        <v>4.0500000000000008E-2</v>
      </c>
      <c r="D24" s="81">
        <f t="shared" si="2"/>
        <v>4.0500000000000008E-2</v>
      </c>
      <c r="E24" s="81">
        <f t="shared" si="2"/>
        <v>4.0500000000000008E-2</v>
      </c>
    </row>
    <row r="25" spans="1:5" x14ac:dyDescent="0.25">
      <c r="A25" s="84" t="s">
        <v>69</v>
      </c>
      <c r="B25" s="82">
        <f t="shared" si="2"/>
        <v>0.14579778606990546</v>
      </c>
      <c r="C25" s="82">
        <f t="shared" si="2"/>
        <v>0.14579778606990546</v>
      </c>
      <c r="D25" s="82">
        <f t="shared" si="2"/>
        <v>0.14579778606990546</v>
      </c>
      <c r="E25" s="82">
        <f t="shared" si="2"/>
        <v>0.14579778606990546</v>
      </c>
    </row>
    <row r="26" spans="1:5" x14ac:dyDescent="0.25">
      <c r="A26" s="146" t="s">
        <v>71</v>
      </c>
      <c r="B26" s="148">
        <f>B17*B23+B18*B24+B19*B25</f>
        <v>7.5521339882455962E-2</v>
      </c>
      <c r="C26" s="148">
        <f>C17*C23+C18*C24+C19*C25</f>
        <v>6.4079421726377525E-2</v>
      </c>
      <c r="D26" s="148">
        <f>D17*D23+D18*D24+D19*D25</f>
        <v>3.9020412823088879E-2</v>
      </c>
      <c r="E26" s="148">
        <f>E17*E23+E18*E24+E19*E25</f>
        <v>3.9020412823088879E-2</v>
      </c>
    </row>
    <row r="27" spans="1:5" x14ac:dyDescent="0.25">
      <c r="A27" s="144" t="s">
        <v>75</v>
      </c>
      <c r="B27" s="145"/>
      <c r="C27" s="145"/>
      <c r="D27" s="145"/>
      <c r="E27" s="145"/>
    </row>
    <row r="28" spans="1:5" x14ac:dyDescent="0.25">
      <c r="A28" s="84" t="s">
        <v>76</v>
      </c>
      <c r="B28" s="75">
        <f>B16+B10</f>
        <v>176020.41225373911</v>
      </c>
      <c r="C28" s="75">
        <f>C16+C10</f>
        <v>182018.89385147975</v>
      </c>
      <c r="D28" s="75">
        <f>D16+D10</f>
        <v>179796</v>
      </c>
      <c r="E28" s="75">
        <f>E16+E10</f>
        <v>187796</v>
      </c>
    </row>
    <row r="29" spans="1:5" x14ac:dyDescent="0.25">
      <c r="A29" s="84" t="s">
        <v>77</v>
      </c>
      <c r="B29" s="82">
        <f>B16/B28</f>
        <v>0.31826088540790298</v>
      </c>
      <c r="C29" s="82">
        <f>C16/C28</f>
        <v>0.29677630002277156</v>
      </c>
      <c r="D29" s="82">
        <f>D16/D28</f>
        <v>0.24358717657789938</v>
      </c>
      <c r="E29" s="82">
        <f>E16/E28</f>
        <v>0.23321050501608129</v>
      </c>
    </row>
    <row r="30" spans="1:5" x14ac:dyDescent="0.25">
      <c r="A30" s="84" t="s">
        <v>78</v>
      </c>
      <c r="B30" s="82">
        <f>B10/B28</f>
        <v>0.68173911459209702</v>
      </c>
      <c r="C30" s="82">
        <f>C10/C28</f>
        <v>0.70322369997722856</v>
      </c>
      <c r="D30" s="82">
        <f>D10/D28</f>
        <v>0.75641282342210059</v>
      </c>
      <c r="E30" s="82">
        <f>E10/E28</f>
        <v>0.76678949498391868</v>
      </c>
    </row>
    <row r="31" spans="1:5" x14ac:dyDescent="0.25">
      <c r="A31" s="144" t="s">
        <v>79</v>
      </c>
      <c r="B31" s="145"/>
      <c r="C31" s="145"/>
      <c r="D31" s="145"/>
      <c r="E31" s="145"/>
    </row>
    <row r="32" spans="1:5" x14ac:dyDescent="0.25">
      <c r="A32" s="192" t="s">
        <v>79</v>
      </c>
      <c r="B32" s="193">
        <f>B29*B26+B30*B11</f>
        <v>0.12629635568699615</v>
      </c>
      <c r="C32" s="193">
        <f>C29*C26+C30*C11</f>
        <v>0.1245008086841374</v>
      </c>
      <c r="D32" s="193">
        <f>D29*D26+D30*D11</f>
        <v>0.12296679570179536</v>
      </c>
      <c r="E32" s="193">
        <f>E29*E26+E30*E11</f>
        <v>0.12411839442799633</v>
      </c>
    </row>
  </sheetData>
  <phoneticPr fontId="0" type="noConversion"/>
  <hyperlinks>
    <hyperlink ref="E1" location="Obsah!A1" display="Skok na obsah" xr:uid="{00000000-0004-0000-0A00-000000000000}"/>
  </hyperlinks>
  <printOptions horizontalCentered="1" gridLinesSet="0"/>
  <pageMargins left="0.59055118110236227" right="0.59055118110236227" top="1.1811023622047245" bottom="0.98425196850393704" header="0.51181102362204722" footer="0.51181102362204722"/>
  <pageSetup paperSize="9" orientation="portrait" r:id="rId1"/>
  <headerFooter alignWithMargins="0">
    <oddHeader>&amp;L&amp;"Arial CE,Obyčejné"&amp;10Mařík, M. a kol.: Metody oceňování podniku pro pokročilé
Ekopress 2023&amp;R&amp;"Arial CE,Obyčejné"&amp;10Komplexní příklad EVA</oddHeader>
    <oddFooter>&amp;C&amp;A&amp;R&amp;"Arial CE,Kurzíva"&amp;10© M. Mařík, P. Maříková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28"/>
  <sheetViews>
    <sheetView showGridLines="0" workbookViewId="0"/>
  </sheetViews>
  <sheetFormatPr defaultRowHeight="15.75" x14ac:dyDescent="0.25"/>
  <cols>
    <col min="1" max="1" width="40.875" customWidth="1"/>
    <col min="2" max="5" width="8.25" customWidth="1"/>
  </cols>
  <sheetData>
    <row r="1" spans="1:5" x14ac:dyDescent="0.25">
      <c r="E1" s="221" t="s">
        <v>203</v>
      </c>
    </row>
    <row r="2" spans="1:5" x14ac:dyDescent="0.25">
      <c r="A2" s="256" t="s">
        <v>161</v>
      </c>
    </row>
    <row r="4" spans="1:5" x14ac:dyDescent="0.25">
      <c r="A4" s="5" t="s">
        <v>162</v>
      </c>
      <c r="C4" s="122"/>
    </row>
    <row r="5" spans="1:5" x14ac:dyDescent="0.25">
      <c r="A5" s="393"/>
      <c r="B5" s="455" t="s">
        <v>84</v>
      </c>
      <c r="C5" s="455"/>
      <c r="D5" s="456"/>
      <c r="E5" s="406" t="s">
        <v>164</v>
      </c>
    </row>
    <row r="6" spans="1:5" x14ac:dyDescent="0.25">
      <c r="A6" s="394"/>
      <c r="B6" s="405">
        <f>rok+1</f>
        <v>2023</v>
      </c>
      <c r="C6" s="405">
        <f>B6+1</f>
        <v>2024</v>
      </c>
      <c r="D6" s="405">
        <f>C6+1</f>
        <v>2025</v>
      </c>
      <c r="E6" s="406">
        <f>D6+1</f>
        <v>2026</v>
      </c>
    </row>
    <row r="7" spans="1:5" ht="18.75" x14ac:dyDescent="0.35">
      <c r="A7" s="80" t="s">
        <v>165</v>
      </c>
      <c r="B7" s="141">
        <f>'9 NOPAT'!C14</f>
        <v>15680.061000000005</v>
      </c>
      <c r="C7" s="141">
        <f>'9 NOPAT'!D14</f>
        <v>12343.994999999999</v>
      </c>
      <c r="D7" s="141">
        <f>'9 NOPAT'!E14</f>
        <v>17885.205000000002</v>
      </c>
      <c r="E7" s="141">
        <f>'9 NOPAT'!F14</f>
        <v>23876.37</v>
      </c>
    </row>
    <row r="8" spans="1:5" ht="18.75" x14ac:dyDescent="0.35">
      <c r="A8" s="121" t="s">
        <v>166</v>
      </c>
      <c r="B8" s="153">
        <f>'10 WACC'!B32*'8 NOA'!G22</f>
        <v>11079.107839565933</v>
      </c>
      <c r="C8" s="153">
        <f>'10 WACC'!C32*'8 NOA'!H22</f>
        <v>11308.259051809779</v>
      </c>
      <c r="D8" s="153">
        <f>'10 WACC'!D32*'8 NOA'!I22</f>
        <v>11078.681162073683</v>
      </c>
      <c r="E8" s="153">
        <f>'10 WACC'!E32*'8 NOA'!J22</f>
        <v>10556.567330247713</v>
      </c>
    </row>
    <row r="9" spans="1:5" x14ac:dyDescent="0.25">
      <c r="A9" s="189" t="s">
        <v>83</v>
      </c>
      <c r="B9" s="194">
        <f>B7-B8</f>
        <v>4600.9531604340718</v>
      </c>
      <c r="C9" s="194">
        <f>C7-C8</f>
        <v>1035.7359481902204</v>
      </c>
      <c r="D9" s="194">
        <f>D7-D8</f>
        <v>6806.5238379263192</v>
      </c>
      <c r="E9" s="194">
        <f>E7-E8</f>
        <v>13319.802669752286</v>
      </c>
    </row>
    <row r="11" spans="1:5" x14ac:dyDescent="0.25">
      <c r="A11" s="5" t="s">
        <v>163</v>
      </c>
    </row>
    <row r="12" spans="1:5" x14ac:dyDescent="0.25">
      <c r="A12" s="393"/>
      <c r="B12" s="454" t="s">
        <v>84</v>
      </c>
      <c r="C12" s="455"/>
      <c r="D12" s="456"/>
      <c r="E12" s="406" t="s">
        <v>164</v>
      </c>
    </row>
    <row r="13" spans="1:5" x14ac:dyDescent="0.25">
      <c r="A13" s="394"/>
      <c r="B13" s="405">
        <f>rok+1</f>
        <v>2023</v>
      </c>
      <c r="C13" s="405">
        <f>B13+1</f>
        <v>2024</v>
      </c>
      <c r="D13" s="405">
        <f>C13+1</f>
        <v>2025</v>
      </c>
      <c r="E13" s="406">
        <f>D13+1</f>
        <v>2026</v>
      </c>
    </row>
    <row r="14" spans="1:5" x14ac:dyDescent="0.25">
      <c r="A14" s="83" t="s">
        <v>85</v>
      </c>
      <c r="B14" s="85">
        <f>'11 EVA'!B9</f>
        <v>4600.9531604340718</v>
      </c>
      <c r="C14" s="85">
        <f>'11 EVA'!C9</f>
        <v>1035.7359481902204</v>
      </c>
      <c r="D14" s="85">
        <f>'11 EVA'!D9</f>
        <v>6806.5238379263192</v>
      </c>
      <c r="E14" s="85">
        <f>'11 EVA'!E9</f>
        <v>13319.802669752286</v>
      </c>
    </row>
    <row r="15" spans="1:5" x14ac:dyDescent="0.25">
      <c r="A15" s="84" t="s">
        <v>79</v>
      </c>
      <c r="B15" s="195">
        <f>'10 WACC'!B32</f>
        <v>0.12629635568699615</v>
      </c>
      <c r="C15" s="195">
        <f>'10 WACC'!C32</f>
        <v>0.1245008086841374</v>
      </c>
      <c r="D15" s="195">
        <f>'10 WACC'!D32</f>
        <v>0.12296679570179536</v>
      </c>
      <c r="E15" s="195">
        <f>'10 WACC'!E32</f>
        <v>0.12411839442799633</v>
      </c>
    </row>
    <row r="16" spans="1:5" x14ac:dyDescent="0.25">
      <c r="A16" s="84" t="s">
        <v>86</v>
      </c>
      <c r="B16" s="113">
        <f>1/(1+B15)</f>
        <v>0.88786578678933892</v>
      </c>
      <c r="C16" s="113">
        <f>B16/(1+C15)</f>
        <v>0.78956438264219397</v>
      </c>
      <c r="D16" s="113">
        <f>C16/(1+D15)</f>
        <v>0.7031057246432274</v>
      </c>
      <c r="E16" s="149"/>
    </row>
    <row r="17" spans="1:5" x14ac:dyDescent="0.25">
      <c r="A17" s="199" t="s">
        <v>87</v>
      </c>
      <c r="B17" s="200">
        <f>B14*B16</f>
        <v>4085.0288977696928</v>
      </c>
      <c r="C17" s="200">
        <f>C14*C16</f>
        <v>817.78021451313873</v>
      </c>
      <c r="D17" s="200">
        <f>D14*D16</f>
        <v>4785.705875366586</v>
      </c>
      <c r="E17" s="122"/>
    </row>
    <row r="19" spans="1:5" x14ac:dyDescent="0.25">
      <c r="A19" s="43" t="s">
        <v>88</v>
      </c>
      <c r="B19" s="114">
        <f>E14/E15</f>
        <v>107315.29948592254</v>
      </c>
    </row>
    <row r="20" spans="1:5" x14ac:dyDescent="0.25">
      <c r="A20" s="83" t="s">
        <v>89</v>
      </c>
      <c r="B20" s="85">
        <f>B19*D16</f>
        <v>75454.00141035454</v>
      </c>
    </row>
    <row r="21" spans="1:5" x14ac:dyDescent="0.25">
      <c r="A21" s="84" t="s">
        <v>90</v>
      </c>
      <c r="B21" s="86">
        <f>SUM(B17:D17)</f>
        <v>9688.5149876494179</v>
      </c>
    </row>
    <row r="22" spans="1:5" x14ac:dyDescent="0.25">
      <c r="A22" s="116" t="s">
        <v>91</v>
      </c>
      <c r="B22" s="117">
        <f>B20+B21</f>
        <v>85142.516398003965</v>
      </c>
    </row>
    <row r="23" spans="1:5" x14ac:dyDescent="0.25">
      <c r="A23" s="84" t="s">
        <v>167</v>
      </c>
      <c r="B23" s="86">
        <f>'8 NOA'!G22</f>
        <v>87723.1</v>
      </c>
    </row>
    <row r="24" spans="1:5" x14ac:dyDescent="0.25">
      <c r="A24" s="115" t="s">
        <v>92</v>
      </c>
      <c r="B24" s="87">
        <f>B22+B23</f>
        <v>172865.61639800397</v>
      </c>
    </row>
    <row r="25" spans="1:5" x14ac:dyDescent="0.25">
      <c r="A25" s="84" t="s">
        <v>168</v>
      </c>
      <c r="B25" s="86">
        <f>'8 NOA'!G9+'8 NOA'!G10</f>
        <v>56020.412253739109</v>
      </c>
    </row>
    <row r="26" spans="1:5" x14ac:dyDescent="0.25">
      <c r="A26" s="115" t="s">
        <v>93</v>
      </c>
      <c r="B26" s="87">
        <f>B24-B25</f>
        <v>116845.20414426486</v>
      </c>
    </row>
    <row r="27" spans="1:5" x14ac:dyDescent="0.25">
      <c r="A27" s="84" t="s">
        <v>205</v>
      </c>
      <c r="B27" s="86">
        <f>'8 NOA'!G18</f>
        <v>23629.003499999999</v>
      </c>
    </row>
    <row r="28" spans="1:5" x14ac:dyDescent="0.25">
      <c r="A28" s="118" t="s">
        <v>94</v>
      </c>
      <c r="B28" s="119">
        <f>B26+B27</f>
        <v>140474.20764426485</v>
      </c>
    </row>
  </sheetData>
  <mergeCells count="2">
    <mergeCell ref="B12:D12"/>
    <mergeCell ref="B5:D5"/>
  </mergeCells>
  <phoneticPr fontId="0" type="noConversion"/>
  <hyperlinks>
    <hyperlink ref="E1" location="Obsah!A1" display="Skok na obsah" xr:uid="{00000000-0004-0000-0B00-000000000000}"/>
  </hyperlinks>
  <printOptions horizontalCentered="1" gridLinesSet="0"/>
  <pageMargins left="0.59055118110236227" right="0.59055118110236227" top="1.1811023622047245" bottom="0.98425196850393704" header="0.51181102362204722" footer="0.51181102362204722"/>
  <pageSetup paperSize="9" orientation="portrait" r:id="rId1"/>
  <headerFooter alignWithMargins="0">
    <oddHeader>&amp;L&amp;"Arial CE,Obyčejné"&amp;10Mařík, M. a kol.: Metody oceňování podniku pro pokročilé
Ekopress 2023&amp;R&amp;"Arial CE,Obyčejné"&amp;10Komplexní příklad EVA</oddHeader>
    <oddFooter>&amp;C&amp;A&amp;R&amp;"Arial CE,Kurzíva"&amp;10© M. Mařík, P. Maříková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38"/>
  <sheetViews>
    <sheetView showGridLines="0" workbookViewId="0"/>
  </sheetViews>
  <sheetFormatPr defaultRowHeight="15.75" x14ac:dyDescent="0.25"/>
  <cols>
    <col min="1" max="1" width="40.875" customWidth="1"/>
    <col min="2" max="5" width="8.25" customWidth="1"/>
    <col min="6" max="6" width="3.375" customWidth="1"/>
  </cols>
  <sheetData>
    <row r="1" spans="1:5" x14ac:dyDescent="0.25">
      <c r="E1" s="221" t="s">
        <v>203</v>
      </c>
    </row>
    <row r="2" spans="1:5" x14ac:dyDescent="0.25">
      <c r="A2" s="256" t="s">
        <v>169</v>
      </c>
    </row>
    <row r="4" spans="1:5" x14ac:dyDescent="0.25">
      <c r="A4" s="5" t="s">
        <v>170</v>
      </c>
    </row>
    <row r="5" spans="1:5" x14ac:dyDescent="0.25">
      <c r="A5" s="393"/>
      <c r="B5" s="454" t="s">
        <v>84</v>
      </c>
      <c r="C5" s="455"/>
      <c r="D5" s="456"/>
      <c r="E5" s="406" t="s">
        <v>164</v>
      </c>
    </row>
    <row r="6" spans="1:5" x14ac:dyDescent="0.25">
      <c r="A6" s="394"/>
      <c r="B6" s="405">
        <f>rok+1</f>
        <v>2023</v>
      </c>
      <c r="C6" s="405">
        <f>B6+1</f>
        <v>2024</v>
      </c>
      <c r="D6" s="405">
        <f>C6+1</f>
        <v>2025</v>
      </c>
      <c r="E6" s="406">
        <f>D6+1</f>
        <v>2026</v>
      </c>
    </row>
    <row r="7" spans="1:5" ht="18.75" customHeight="1" x14ac:dyDescent="0.25">
      <c r="A7" s="83" t="s">
        <v>105</v>
      </c>
      <c r="B7" s="85">
        <f>'9 NOPAT'!C14</f>
        <v>15680.061000000005</v>
      </c>
      <c r="C7" s="85">
        <f>'9 NOPAT'!D14</f>
        <v>12343.994999999999</v>
      </c>
      <c r="D7" s="85">
        <f>'9 NOPAT'!E14</f>
        <v>17885.205000000002</v>
      </c>
      <c r="E7" s="85">
        <f>'9 NOPAT'!F14</f>
        <v>23876.37</v>
      </c>
    </row>
    <row r="8" spans="1:5" ht="18.75" customHeight="1" x14ac:dyDescent="0.25">
      <c r="A8" s="83" t="s">
        <v>106</v>
      </c>
      <c r="B8" s="85">
        <f>-('8 NOA'!H22-'8 NOA'!G22)</f>
        <v>-3105.6999999999825</v>
      </c>
      <c r="C8" s="85">
        <f>-('8 NOA'!I22-'8 NOA'!H22)</f>
        <v>733.89999999999418</v>
      </c>
      <c r="D8" s="85">
        <f>-('8 NOA'!J22-'8 NOA'!I22)</f>
        <v>5042.5</v>
      </c>
      <c r="E8" s="85">
        <v>0</v>
      </c>
    </row>
    <row r="9" spans="1:5" s="4" customFormat="1" x14ac:dyDescent="0.25">
      <c r="A9" s="192" t="s">
        <v>107</v>
      </c>
      <c r="B9" s="197">
        <f>B7+B8</f>
        <v>12574.361000000023</v>
      </c>
      <c r="C9" s="197">
        <f>C7+C8</f>
        <v>13077.894999999993</v>
      </c>
      <c r="D9" s="197">
        <f>D7+D8</f>
        <v>22927.705000000002</v>
      </c>
      <c r="E9" s="197">
        <f>E7+E8</f>
        <v>23876.37</v>
      </c>
    </row>
    <row r="10" spans="1:5" s="4" customFormat="1" x14ac:dyDescent="0.25">
      <c r="B10" s="196"/>
      <c r="C10" s="196"/>
      <c r="D10" s="196"/>
      <c r="E10" s="196"/>
    </row>
    <row r="11" spans="1:5" s="4" customFormat="1" x14ac:dyDescent="0.25">
      <c r="A11" s="5" t="s">
        <v>171</v>
      </c>
      <c r="B11"/>
      <c r="C11"/>
      <c r="D11"/>
      <c r="E11"/>
    </row>
    <row r="12" spans="1:5" s="4" customFormat="1" x14ac:dyDescent="0.25">
      <c r="A12" s="393"/>
      <c r="B12" s="454" t="s">
        <v>84</v>
      </c>
      <c r="C12" s="455"/>
      <c r="D12" s="456"/>
      <c r="E12" s="406" t="s">
        <v>164</v>
      </c>
    </row>
    <row r="13" spans="1:5" s="4" customFormat="1" x14ac:dyDescent="0.25">
      <c r="A13" s="394"/>
      <c r="B13" s="405">
        <f>rok+1</f>
        <v>2023</v>
      </c>
      <c r="C13" s="405">
        <f>B13+1</f>
        <v>2024</v>
      </c>
      <c r="D13" s="405">
        <f>C13+1</f>
        <v>2025</v>
      </c>
      <c r="E13" s="406">
        <f>D13+1</f>
        <v>2026</v>
      </c>
    </row>
    <row r="14" spans="1:5" s="4" customFormat="1" x14ac:dyDescent="0.25">
      <c r="A14" s="211" t="s">
        <v>107</v>
      </c>
      <c r="B14" s="212">
        <f>B9</f>
        <v>12574.361000000023</v>
      </c>
      <c r="C14" s="212">
        <f>C9</f>
        <v>13077.894999999993</v>
      </c>
      <c r="D14" s="212">
        <f>D9</f>
        <v>22927.705000000002</v>
      </c>
      <c r="E14" s="212">
        <f>E9</f>
        <v>23876.37</v>
      </c>
    </row>
    <row r="15" spans="1:5" x14ac:dyDescent="0.25">
      <c r="A15" s="84" t="s">
        <v>79</v>
      </c>
      <c r="B15" s="198">
        <f>'10 WACC'!B32</f>
        <v>0.12629635568699615</v>
      </c>
      <c r="C15" s="198">
        <f>'10 WACC'!C32</f>
        <v>0.1245008086841374</v>
      </c>
      <c r="D15" s="198">
        <f>'10 WACC'!D32</f>
        <v>0.12296679570179536</v>
      </c>
      <c r="E15" s="198">
        <f>'10 WACC'!E32</f>
        <v>0.12411839442799633</v>
      </c>
    </row>
    <row r="16" spans="1:5" x14ac:dyDescent="0.25">
      <c r="A16" s="84" t="s">
        <v>86</v>
      </c>
      <c r="B16" s="113">
        <f>1/(1+B15)</f>
        <v>0.88786578678933892</v>
      </c>
      <c r="C16" s="113">
        <f>B16/(1+C15)</f>
        <v>0.78956438264219397</v>
      </c>
      <c r="D16" s="113">
        <f>C16/(1+D15)</f>
        <v>0.7031057246432274</v>
      </c>
      <c r="E16" s="149"/>
    </row>
    <row r="17" spans="1:5" x14ac:dyDescent="0.25">
      <c r="A17" s="199" t="s">
        <v>108</v>
      </c>
      <c r="B17" s="200">
        <f>B14*B16</f>
        <v>11164.344922638198</v>
      </c>
      <c r="C17" s="200">
        <f>C14*C16</f>
        <v>10325.840091934429</v>
      </c>
      <c r="D17" s="200">
        <f>D14*D16</f>
        <v>16120.600638431149</v>
      </c>
      <c r="E17" s="122"/>
    </row>
    <row r="18" spans="1:5" x14ac:dyDescent="0.25">
      <c r="A18" s="5"/>
      <c r="E18" s="122"/>
    </row>
    <row r="19" spans="1:5" x14ac:dyDescent="0.25">
      <c r="A19" s="43" t="s">
        <v>88</v>
      </c>
      <c r="B19" s="114">
        <f>E9/E15</f>
        <v>192367.69948592252</v>
      </c>
    </row>
    <row r="20" spans="1:5" x14ac:dyDescent="0.25">
      <c r="A20" s="83" t="s">
        <v>89</v>
      </c>
      <c r="B20" s="85">
        <f>B19*D16</f>
        <v>135254.83074500016</v>
      </c>
    </row>
    <row r="21" spans="1:5" x14ac:dyDescent="0.25">
      <c r="A21" s="84" t="s">
        <v>90</v>
      </c>
      <c r="B21" s="86">
        <f>SUM(B17:D17)</f>
        <v>37610.785653003775</v>
      </c>
    </row>
    <row r="22" spans="1:5" x14ac:dyDescent="0.25">
      <c r="A22" s="116" t="s">
        <v>92</v>
      </c>
      <c r="B22" s="117">
        <f>B20+B21</f>
        <v>172865.61639800394</v>
      </c>
    </row>
    <row r="23" spans="1:5" x14ac:dyDescent="0.25">
      <c r="A23" s="84" t="s">
        <v>168</v>
      </c>
      <c r="B23" s="86">
        <f>'8 NOA'!G9+'8 NOA'!G10</f>
        <v>56020.412253739109</v>
      </c>
    </row>
    <row r="24" spans="1:5" x14ac:dyDescent="0.25">
      <c r="A24" s="115" t="s">
        <v>93</v>
      </c>
      <c r="B24" s="87">
        <f>B22-B23</f>
        <v>116845.20414426483</v>
      </c>
    </row>
    <row r="25" spans="1:5" x14ac:dyDescent="0.25">
      <c r="A25" s="84" t="s">
        <v>205</v>
      </c>
      <c r="B25" s="86">
        <f>'8 NOA'!G18</f>
        <v>23629.003499999999</v>
      </c>
    </row>
    <row r="26" spans="1:5" x14ac:dyDescent="0.25">
      <c r="A26" s="118" t="s">
        <v>94</v>
      </c>
      <c r="B26" s="119">
        <f>B24+B25</f>
        <v>140474.20764426482</v>
      </c>
    </row>
    <row r="27" spans="1:5" x14ac:dyDescent="0.25">
      <c r="C27" s="1"/>
      <c r="D27" s="1"/>
      <c r="E27" s="1"/>
    </row>
    <row r="28" spans="1:5" x14ac:dyDescent="0.25">
      <c r="A28" s="4"/>
    </row>
    <row r="38" spans="1:1" x14ac:dyDescent="0.25">
      <c r="A38" s="4"/>
    </row>
  </sheetData>
  <mergeCells count="2">
    <mergeCell ref="B5:D5"/>
    <mergeCell ref="B12:D12"/>
  </mergeCells>
  <phoneticPr fontId="0" type="noConversion"/>
  <hyperlinks>
    <hyperlink ref="E1" location="Obsah!A1" display="Skok na obsah" xr:uid="{00000000-0004-0000-0C00-000000000000}"/>
  </hyperlinks>
  <printOptions horizontalCentered="1" gridLinesSet="0"/>
  <pageMargins left="0.59055118110236227" right="0.59055118110236227" top="1.1811023622047245" bottom="0.98425196850393704" header="0.51181102362204722" footer="0.51181102362204722"/>
  <pageSetup paperSize="9" orientation="portrait" r:id="rId1"/>
  <headerFooter alignWithMargins="0">
    <oddHeader>&amp;L&amp;"Arial CE,Obyčejné"&amp;10Mařík, M. a kol.: Metody oceňování podniku pro pokročilé
Ekopress 2023&amp;R&amp;"Arial CE,Obyčejné"&amp;10Komplexní příklad EVA</oddHeader>
    <oddFooter>&amp;C&amp;A&amp;R&amp;"Arial CE,Kurzíva"&amp;10© M. Mařík, P. Maříková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34"/>
  <sheetViews>
    <sheetView showGridLines="0" workbookViewId="0">
      <pane xSplit="1" ySplit="4" topLeftCell="B8" activePane="bottomRight" state="frozen"/>
      <selection pane="topRight"/>
      <selection pane="bottomLeft"/>
      <selection pane="bottomRight"/>
    </sheetView>
  </sheetViews>
  <sheetFormatPr defaultRowHeight="15.75" x14ac:dyDescent="0.25"/>
  <cols>
    <col min="1" max="1" width="40.625" customWidth="1"/>
    <col min="2" max="2" width="9.25" customWidth="1"/>
    <col min="3" max="6" width="8.125" customWidth="1"/>
    <col min="7" max="7" width="8.25" customWidth="1"/>
    <col min="8" max="8" width="3" customWidth="1"/>
  </cols>
  <sheetData>
    <row r="1" spans="1:7" x14ac:dyDescent="0.25">
      <c r="F1" s="221" t="s">
        <v>203</v>
      </c>
    </row>
    <row r="2" spans="1:7" x14ac:dyDescent="0.25">
      <c r="A2" s="257" t="s">
        <v>246</v>
      </c>
    </row>
    <row r="3" spans="1:7" ht="16.5" thickBot="1" x14ac:dyDescent="0.3">
      <c r="A3" s="350" t="s">
        <v>245</v>
      </c>
    </row>
    <row r="4" spans="1:7" ht="16.5" thickBot="1" x14ac:dyDescent="0.3">
      <c r="A4" s="387" t="s">
        <v>19</v>
      </c>
      <c r="B4" s="388">
        <f>rok</f>
        <v>2022</v>
      </c>
      <c r="C4" s="389">
        <f>B4+1</f>
        <v>2023</v>
      </c>
      <c r="D4" s="390">
        <f>C4+1</f>
        <v>2024</v>
      </c>
      <c r="E4" s="391">
        <f>D4+1</f>
        <v>2025</v>
      </c>
    </row>
    <row r="5" spans="1:7" x14ac:dyDescent="0.25">
      <c r="A5" s="236" t="s">
        <v>247</v>
      </c>
      <c r="B5" s="237">
        <f>'3 Výsledovka'!B5</f>
        <v>0.19</v>
      </c>
      <c r="C5" s="237">
        <f>'3 Výsledovka'!C5</f>
        <v>0.19</v>
      </c>
      <c r="D5" s="237">
        <f>'3 Výsledovka'!D5</f>
        <v>0.19</v>
      </c>
      <c r="E5" s="237">
        <f>'3 Výsledovka'!E5</f>
        <v>0.19</v>
      </c>
    </row>
    <row r="6" spans="1:7" ht="23.25" customHeight="1" thickBot="1" x14ac:dyDescent="0.3">
      <c r="A6" s="5" t="s">
        <v>206</v>
      </c>
      <c r="B6" s="229"/>
      <c r="C6" s="228"/>
      <c r="D6" s="228"/>
      <c r="E6" s="228"/>
    </row>
    <row r="7" spans="1:7" x14ac:dyDescent="0.25">
      <c r="A7" s="302" t="s">
        <v>303</v>
      </c>
      <c r="B7" s="308">
        <f>'3 Výsledovka'!B6</f>
        <v>165048</v>
      </c>
      <c r="C7" s="311">
        <f>'3 Výsledovka'!C6</f>
        <v>214112.6</v>
      </c>
      <c r="D7" s="312">
        <f>'3 Výsledovka'!D6</f>
        <v>236244</v>
      </c>
      <c r="E7" s="313">
        <f>'3 Výsledovka'!E6</f>
        <v>251643</v>
      </c>
    </row>
    <row r="8" spans="1:7" x14ac:dyDescent="0.25">
      <c r="A8" s="303" t="s">
        <v>111</v>
      </c>
      <c r="B8" s="248">
        <f>'3 Výsledovka'!B7</f>
        <v>105004</v>
      </c>
      <c r="C8" s="249">
        <f>'3 Výsledovka'!C7</f>
        <v>143404</v>
      </c>
      <c r="D8" s="234">
        <f>'3 Výsledovka'!D7</f>
        <v>155483</v>
      </c>
      <c r="E8" s="314">
        <f>'3 Výsledovka'!E7</f>
        <v>161142</v>
      </c>
    </row>
    <row r="9" spans="1:7" x14ac:dyDescent="0.25">
      <c r="A9" s="9" t="s">
        <v>112</v>
      </c>
      <c r="B9" s="104">
        <f>'3 Výsledovka'!B8</f>
        <v>34413</v>
      </c>
      <c r="C9" s="254">
        <f>'3 Výsledovka'!C8</f>
        <v>42224</v>
      </c>
      <c r="D9" s="24">
        <f>'3 Výsledovka'!D8</f>
        <v>52295</v>
      </c>
      <c r="E9" s="25">
        <f>'3 Výsledovka'!E8</f>
        <v>55524</v>
      </c>
    </row>
    <row r="10" spans="1:7" x14ac:dyDescent="0.25">
      <c r="A10" s="14" t="s">
        <v>304</v>
      </c>
      <c r="B10" s="105">
        <f>'3 Výsledovka'!B9</f>
        <v>5000</v>
      </c>
      <c r="C10" s="255">
        <f>'3 Výsledovka'!C9</f>
        <v>4500</v>
      </c>
      <c r="D10" s="26">
        <f>'3 Výsledovka'!D9</f>
        <v>5000</v>
      </c>
      <c r="E10" s="27">
        <f>'3 Výsledovka'!E9</f>
        <v>5500</v>
      </c>
    </row>
    <row r="11" spans="1:7" x14ac:dyDescent="0.25">
      <c r="A11" s="304" t="s">
        <v>207</v>
      </c>
      <c r="B11" s="104">
        <f>-'6 Marketing'!B11</f>
        <v>-2490</v>
      </c>
      <c r="C11" s="254">
        <f>-'6 Marketing'!C11</f>
        <v>-3600</v>
      </c>
      <c r="D11" s="24">
        <f>-'6 Marketing'!D11</f>
        <v>0</v>
      </c>
      <c r="E11" s="25">
        <f>-'6 Marketing'!E11</f>
        <v>0</v>
      </c>
    </row>
    <row r="12" spans="1:7" x14ac:dyDescent="0.25">
      <c r="A12" s="305" t="s">
        <v>208</v>
      </c>
      <c r="B12" s="105">
        <f>'6 Marketing'!B14</f>
        <v>830</v>
      </c>
      <c r="C12" s="255">
        <f>'6 Marketing'!C14</f>
        <v>2030</v>
      </c>
      <c r="D12" s="26">
        <f>'6 Marketing'!D14</f>
        <v>2030</v>
      </c>
      <c r="E12" s="27">
        <f>'6 Marketing'!E14</f>
        <v>1200</v>
      </c>
    </row>
    <row r="13" spans="1:7" x14ac:dyDescent="0.25">
      <c r="A13" s="306" t="s">
        <v>209</v>
      </c>
      <c r="B13" s="243">
        <f>'7 Leasing'!B30</f>
        <v>6196.5</v>
      </c>
      <c r="C13" s="315">
        <f>'7 Leasing'!C30</f>
        <v>6196.5</v>
      </c>
      <c r="D13" s="235">
        <f>'7 Leasing'!D30</f>
        <v>6196.5</v>
      </c>
      <c r="E13" s="244">
        <f>'7 Leasing'!E30</f>
        <v>6196.5</v>
      </c>
    </row>
    <row r="14" spans="1:7" x14ac:dyDescent="0.25">
      <c r="A14" s="307" t="s">
        <v>156</v>
      </c>
      <c r="B14" s="309">
        <f>B7-SUM(B8:B13)</f>
        <v>16094.5</v>
      </c>
      <c r="C14" s="316">
        <f>C7-SUM(C8:C13)</f>
        <v>19358.100000000006</v>
      </c>
      <c r="D14" s="230">
        <f>D7-SUM(D8:D13)</f>
        <v>15239.5</v>
      </c>
      <c r="E14" s="317">
        <f>E7-SUM(E8:E13)</f>
        <v>22080.5</v>
      </c>
      <c r="F14" s="122"/>
      <c r="G14" s="122"/>
    </row>
    <row r="15" spans="1:7" x14ac:dyDescent="0.25">
      <c r="A15" s="304" t="s">
        <v>210</v>
      </c>
      <c r="B15" s="104">
        <f>B14*B5</f>
        <v>3057.9549999999999</v>
      </c>
      <c r="C15" s="254">
        <f>C14*C5</f>
        <v>3678.0390000000011</v>
      </c>
      <c r="D15" s="232">
        <f>D14*D5</f>
        <v>2895.5050000000001</v>
      </c>
      <c r="E15" s="296">
        <f>E14*E5</f>
        <v>4195.2950000000001</v>
      </c>
    </row>
    <row r="16" spans="1:7" ht="16.5" thickBot="1" x14ac:dyDescent="0.3">
      <c r="A16" s="280" t="s">
        <v>159</v>
      </c>
      <c r="B16" s="310">
        <f>B14-B15</f>
        <v>13036.545</v>
      </c>
      <c r="C16" s="318">
        <f>C14-C15</f>
        <v>15680.061000000005</v>
      </c>
      <c r="D16" s="319">
        <f>D14-D15</f>
        <v>12343.994999999999</v>
      </c>
      <c r="E16" s="320">
        <f>E14-E15</f>
        <v>17885.205000000002</v>
      </c>
    </row>
    <row r="17" spans="1:5" ht="23.25" customHeight="1" thickBot="1" x14ac:dyDescent="0.3">
      <c r="A17" s="5" t="s">
        <v>213</v>
      </c>
      <c r="B17" s="229"/>
      <c r="C17" s="228"/>
      <c r="D17" s="228"/>
      <c r="E17" s="228"/>
    </row>
    <row r="18" spans="1:5" x14ac:dyDescent="0.25">
      <c r="A18" s="288" t="s">
        <v>21</v>
      </c>
      <c r="B18" s="322">
        <f>'3 Výsledovka'!B11</f>
        <v>700</v>
      </c>
      <c r="C18" s="324">
        <f>'3 Výsledovka'!C11</f>
        <v>700</v>
      </c>
      <c r="D18" s="325">
        <f>'3 Výsledovka'!D11</f>
        <v>700</v>
      </c>
      <c r="E18" s="326">
        <f>'3 Výsledovka'!E11</f>
        <v>700</v>
      </c>
    </row>
    <row r="19" spans="1:5" ht="16.5" thickBot="1" x14ac:dyDescent="0.3">
      <c r="A19" s="321" t="s">
        <v>214</v>
      </c>
      <c r="B19" s="323">
        <f>B18</f>
        <v>700</v>
      </c>
      <c r="C19" s="327">
        <f>C18</f>
        <v>700</v>
      </c>
      <c r="D19" s="328">
        <f>D18</f>
        <v>700</v>
      </c>
      <c r="E19" s="329">
        <f>E18</f>
        <v>700</v>
      </c>
    </row>
    <row r="20" spans="1:5" ht="23.25" customHeight="1" thickBot="1" x14ac:dyDescent="0.3">
      <c r="A20" s="5" t="s">
        <v>215</v>
      </c>
      <c r="B20" s="229"/>
      <c r="C20" s="228"/>
      <c r="D20" s="228"/>
      <c r="E20" s="228"/>
    </row>
    <row r="21" spans="1:5" x14ac:dyDescent="0.25">
      <c r="A21" s="292" t="s">
        <v>216</v>
      </c>
      <c r="B21" s="330">
        <f>'3 Výsledovka'!B12</f>
        <v>1258.6500000000001</v>
      </c>
      <c r="C21" s="293">
        <f>'3 Výsledovka'!C12</f>
        <v>1758.65</v>
      </c>
      <c r="D21" s="294">
        <f>'3 Výsledovka'!D12</f>
        <v>1985.3500000000001</v>
      </c>
      <c r="E21" s="295">
        <f>'3 Výsledovka'!E12</f>
        <v>2109.8000000000002</v>
      </c>
    </row>
    <row r="22" spans="1:5" x14ac:dyDescent="0.25">
      <c r="A22" s="9" t="s">
        <v>217</v>
      </c>
      <c r="B22" s="104">
        <f>'7 Leasing'!B26</f>
        <v>4461.4122537391067</v>
      </c>
      <c r="C22" s="254">
        <f>'7 Leasing'!C26</f>
        <v>3464.4815977406556</v>
      </c>
      <c r="D22" s="232">
        <f>'7 Leasing'!D26</f>
        <v>2288.1061485202381</v>
      </c>
      <c r="E22" s="296">
        <f>'7 Leasing'!E26</f>
        <v>0</v>
      </c>
    </row>
    <row r="23" spans="1:5" x14ac:dyDescent="0.25">
      <c r="A23" s="14" t="s">
        <v>211</v>
      </c>
      <c r="B23" s="105">
        <f>(B19-B21-B22)*B5</f>
        <v>-953.81182821043024</v>
      </c>
      <c r="C23" s="255">
        <f>(C19-C21-C22)*C5</f>
        <v>-859.39500357072461</v>
      </c>
      <c r="D23" s="233">
        <f>(D19-D21-D22)*D5</f>
        <v>-678.95666821884527</v>
      </c>
      <c r="E23" s="331">
        <f>(E19-E21-E22)*E5</f>
        <v>-267.86200000000002</v>
      </c>
    </row>
    <row r="24" spans="1:5" ht="16.5" thickBot="1" x14ac:dyDescent="0.3">
      <c r="A24" s="351" t="s">
        <v>248</v>
      </c>
      <c r="B24" s="352">
        <f>B16+B19-B21-B22-B23</f>
        <v>8970.2945744713234</v>
      </c>
      <c r="C24" s="353">
        <f>C16+C19-C21-C22-C23</f>
        <v>12016.324405830073</v>
      </c>
      <c r="D24" s="354">
        <f>D16+D19-D21-D22-D23</f>
        <v>9449.4955196986048</v>
      </c>
      <c r="E24" s="355">
        <f>E16+E19-E21-E22-E23</f>
        <v>16743.267000000003</v>
      </c>
    </row>
    <row r="25" spans="1:5" ht="16.5" thickBot="1" x14ac:dyDescent="0.3">
      <c r="A25" s="238"/>
      <c r="B25" s="239"/>
      <c r="C25" s="239"/>
      <c r="D25" s="239"/>
      <c r="E25" s="239"/>
    </row>
    <row r="26" spans="1:5" x14ac:dyDescent="0.25">
      <c r="A26" s="292" t="s">
        <v>24</v>
      </c>
      <c r="B26" s="330">
        <f>'3 Výsledovka'!B17</f>
        <v>5000</v>
      </c>
      <c r="C26" s="293">
        <f>'3 Výsledovka'!C17</f>
        <v>5000</v>
      </c>
      <c r="D26" s="294">
        <f>'3 Výsledovka'!D17</f>
        <v>5000</v>
      </c>
      <c r="E26" s="295">
        <f>'3 Výsledovka'!E17</f>
        <v>5000</v>
      </c>
    </row>
    <row r="27" spans="1:5" ht="16.5" thickBot="1" x14ac:dyDescent="0.3">
      <c r="A27" s="12" t="s">
        <v>25</v>
      </c>
      <c r="B27" s="112">
        <f>B24-B26</f>
        <v>3970.2945744713234</v>
      </c>
      <c r="C27" s="332">
        <f>C24-C26</f>
        <v>7016.3244058300734</v>
      </c>
      <c r="D27" s="333">
        <f>D24-D26</f>
        <v>4449.4955196986048</v>
      </c>
      <c r="E27" s="334">
        <f>E24-E26</f>
        <v>11743.267000000003</v>
      </c>
    </row>
    <row r="29" spans="1:5" ht="16.5" thickBot="1" x14ac:dyDescent="0.3">
      <c r="A29" s="382" t="s">
        <v>220</v>
      </c>
    </row>
    <row r="30" spans="1:5" x14ac:dyDescent="0.25">
      <c r="A30" s="369" t="s">
        <v>212</v>
      </c>
      <c r="B30" s="370">
        <f>'3 Výsledovka'!B16</f>
        <v>16258.603499999999</v>
      </c>
      <c r="C30" s="371">
        <f>'3 Výsledovka'!C16</f>
        <v>18570.019500000002</v>
      </c>
      <c r="D30" s="372">
        <f>'3 Výsledovka'!D16</f>
        <v>17966.326500000003</v>
      </c>
      <c r="E30" s="373">
        <f>'3 Výsledovka'!E16</f>
        <v>22734.432000000001</v>
      </c>
    </row>
    <row r="31" spans="1:5" x14ac:dyDescent="0.25">
      <c r="A31" s="336" t="s">
        <v>218</v>
      </c>
      <c r="B31" s="105">
        <f>'7 Leasing'!B33</f>
        <v>-10657.912253739107</v>
      </c>
      <c r="C31" s="255">
        <f>'7 Leasing'!C33</f>
        <v>-9660.9815977406561</v>
      </c>
      <c r="D31" s="26">
        <f>'7 Leasing'!D33</f>
        <v>-8484.6061485202372</v>
      </c>
      <c r="E31" s="27">
        <f>'7 Leasing'!E33</f>
        <v>-6196.5</v>
      </c>
    </row>
    <row r="32" spans="1:5" x14ac:dyDescent="0.25">
      <c r="A32" s="336" t="s">
        <v>219</v>
      </c>
      <c r="B32" s="105">
        <f>('6 Marketing'!B11-'6 Marketing'!B14)</f>
        <v>1660</v>
      </c>
      <c r="C32" s="255">
        <f>('6 Marketing'!C11-'6 Marketing'!C14)</f>
        <v>1570</v>
      </c>
      <c r="D32" s="26">
        <f>('6 Marketing'!D11-'6 Marketing'!D14)</f>
        <v>-2030</v>
      </c>
      <c r="E32" s="27">
        <f>('6 Marketing'!E11-'6 Marketing'!E14)</f>
        <v>-1200</v>
      </c>
    </row>
    <row r="33" spans="1:5" x14ac:dyDescent="0.25">
      <c r="A33" s="336" t="s">
        <v>250</v>
      </c>
      <c r="B33" s="105">
        <f>-(B31+B32)*B5</f>
        <v>1709.6033282104304</v>
      </c>
      <c r="C33" s="255">
        <f>-(C31+C32)*C5</f>
        <v>1537.2865035707246</v>
      </c>
      <c r="D33" s="26">
        <f>-(D31+D32)*D5</f>
        <v>1997.775168218845</v>
      </c>
      <c r="E33" s="27">
        <f>-(E31+E32)*E5</f>
        <v>1405.335</v>
      </c>
    </row>
    <row r="34" spans="1:5" ht="16.5" thickBot="1" x14ac:dyDescent="0.3">
      <c r="A34" s="351" t="s">
        <v>249</v>
      </c>
      <c r="B34" s="352">
        <f>SUM(B30:B33)</f>
        <v>8970.2945744713234</v>
      </c>
      <c r="C34" s="353">
        <f>SUM(C30:C33)</f>
        <v>12016.32440583007</v>
      </c>
      <c r="D34" s="425">
        <f>SUM(D30:D33)</f>
        <v>9449.4955196986102</v>
      </c>
      <c r="E34" s="426">
        <f>SUM(E30:E33)</f>
        <v>16743.267</v>
      </c>
    </row>
  </sheetData>
  <hyperlinks>
    <hyperlink ref="F1" location="Obsah!A1" display="Skok na obsah" xr:uid="{00000000-0004-0000-0D00-000000000000}"/>
  </hyperlinks>
  <printOptions horizontalCentered="1" gridLinesSet="0"/>
  <pageMargins left="0.59055118110236227" right="0.59055118110236227" top="1.1811023622047245" bottom="0.98425196850393704" header="0.51181102362204722" footer="0.51181102362204722"/>
  <pageSetup paperSize="9" orientation="portrait" r:id="rId1"/>
  <headerFooter alignWithMargins="0">
    <oddHeader>&amp;L&amp;"Arial CE,Obyčejné"&amp;10Mařík, M. a kol.: Metody oceňování podniku pro pokročilé
Ekopress 2023&amp;R&amp;"Arial CE,Obyčejné"&amp;10Komplexní příklad EVA</oddHeader>
    <oddFooter>&amp;C&amp;A&amp;R&amp;"Arial CE,Kurzíva"&amp;10© M. Mařík, P. Maříková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44"/>
  <sheetViews>
    <sheetView showGridLines="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.75" x14ac:dyDescent="0.25"/>
  <cols>
    <col min="1" max="1" width="37.125" customWidth="1"/>
  </cols>
  <sheetData>
    <row r="1" spans="1:5" x14ac:dyDescent="0.25">
      <c r="E1" s="221" t="s">
        <v>203</v>
      </c>
    </row>
    <row r="2" spans="1:5" ht="18.75" customHeight="1" x14ac:dyDescent="0.25">
      <c r="A2" s="257" t="s">
        <v>266</v>
      </c>
      <c r="B2" s="7"/>
      <c r="C2" s="7"/>
    </row>
    <row r="3" spans="1:5" ht="13.5" customHeight="1" thickBot="1" x14ac:dyDescent="0.3">
      <c r="A3" s="350" t="s">
        <v>245</v>
      </c>
      <c r="B3" s="7"/>
      <c r="C3" s="7"/>
    </row>
    <row r="4" spans="1:5" ht="16.5" thickBot="1" x14ac:dyDescent="0.3">
      <c r="A4" s="409" t="s">
        <v>19</v>
      </c>
      <c r="B4" s="410">
        <f>'15 Aktiva upravená'!C4</f>
        <v>2023</v>
      </c>
      <c r="C4" s="410">
        <f>'15 Aktiva upravená'!D4</f>
        <v>2024</v>
      </c>
      <c r="D4" s="411">
        <f>'15 Aktiva upravená'!E4</f>
        <v>2025</v>
      </c>
    </row>
    <row r="5" spans="1:5" ht="16.5" thickBot="1" x14ac:dyDescent="0.3">
      <c r="A5" s="178" t="s">
        <v>234</v>
      </c>
      <c r="B5" s="278">
        <f>'8 NOA'!G16+'13 Výsledovka upravená'!B33</f>
        <v>9338.6068282104279</v>
      </c>
      <c r="C5" s="179">
        <f>B33</f>
        <v>11247.712831781157</v>
      </c>
      <c r="D5" s="180">
        <f>C33</f>
        <v>6208.2144999999964</v>
      </c>
    </row>
    <row r="6" spans="1:5" ht="23.25" customHeight="1" thickBot="1" x14ac:dyDescent="0.3">
      <c r="A6" s="5" t="s">
        <v>206</v>
      </c>
      <c r="B6" s="229"/>
      <c r="C6" s="228"/>
      <c r="D6" s="228"/>
      <c r="E6" s="228"/>
    </row>
    <row r="7" spans="1:5" x14ac:dyDescent="0.25">
      <c r="A7" s="279" t="s">
        <v>105</v>
      </c>
      <c r="B7" s="281">
        <f>'13 Výsledovka upravená'!C16</f>
        <v>15680.061000000005</v>
      </c>
      <c r="C7" s="282">
        <f>'13 Výsledovka upravená'!D16</f>
        <v>12343.994999999999</v>
      </c>
      <c r="D7" s="283">
        <f>'13 Výsledovka upravená'!E16</f>
        <v>17885.205000000002</v>
      </c>
    </row>
    <row r="8" spans="1:5" x14ac:dyDescent="0.25">
      <c r="A8" s="9" t="s">
        <v>221</v>
      </c>
      <c r="B8" s="254">
        <f>'13 Výsledovka upravená'!C10</f>
        <v>4500</v>
      </c>
      <c r="C8" s="24">
        <f>'13 Výsledovka upravená'!D10</f>
        <v>5000</v>
      </c>
      <c r="D8" s="25">
        <f>'13 Výsledovka upravená'!E10</f>
        <v>5500</v>
      </c>
    </row>
    <row r="9" spans="1:5" x14ac:dyDescent="0.25">
      <c r="A9" s="9" t="s">
        <v>140</v>
      </c>
      <c r="B9" s="254">
        <f>'7 Leasing'!C30</f>
        <v>6196.5</v>
      </c>
      <c r="C9" s="24">
        <f>'7 Leasing'!D30</f>
        <v>6196.5</v>
      </c>
      <c r="D9" s="25">
        <f>'7 Leasing'!E30</f>
        <v>6196.5</v>
      </c>
    </row>
    <row r="10" spans="1:5" x14ac:dyDescent="0.25">
      <c r="A10" s="9" t="s">
        <v>222</v>
      </c>
      <c r="B10" s="254">
        <f>'6 Marketing'!C14</f>
        <v>2030</v>
      </c>
      <c r="C10" s="24">
        <f>'6 Marketing'!D14</f>
        <v>2030</v>
      </c>
      <c r="D10" s="25">
        <f>'6 Marketing'!E14</f>
        <v>1200</v>
      </c>
    </row>
    <row r="11" spans="1:5" x14ac:dyDescent="0.25">
      <c r="A11" s="9" t="s">
        <v>116</v>
      </c>
      <c r="B11" s="254">
        <f>-('15 Aktiva upravená'!C17-'15 Aktiva upravená'!B17)</f>
        <v>-7341</v>
      </c>
      <c r="C11" s="24">
        <f>-('15 Aktiva upravená'!D17-'15 Aktiva upravená'!C17)</f>
        <v>-3795</v>
      </c>
      <c r="D11" s="25">
        <f>-('15 Aktiva upravená'!E17-'15 Aktiva upravená'!D17)</f>
        <v>-2228</v>
      </c>
    </row>
    <row r="12" spans="1:5" x14ac:dyDescent="0.25">
      <c r="A12" s="9" t="s">
        <v>117</v>
      </c>
      <c r="B12" s="254">
        <f>-('15 Aktiva upravená'!C21-'15 Aktiva upravená'!B21)</f>
        <v>-5100</v>
      </c>
      <c r="C12" s="24">
        <f>-('15 Aktiva upravená'!D21-'15 Aktiva upravená'!C21)</f>
        <v>-5107</v>
      </c>
      <c r="D12" s="25">
        <f>-('15 Aktiva upravená'!E21-'15 Aktiva upravená'!D21)</f>
        <v>-1960</v>
      </c>
    </row>
    <row r="13" spans="1:5" x14ac:dyDescent="0.25">
      <c r="A13" s="9" t="s">
        <v>233</v>
      </c>
      <c r="B13" s="254">
        <f>-('8 NOA'!H15-'8 NOA'!G15)</f>
        <v>-2296.1999999999989</v>
      </c>
      <c r="C13" s="24">
        <f>-('8 NOA'!I15-'8 NOA'!H15)</f>
        <v>-1032.6000000000004</v>
      </c>
      <c r="D13" s="25">
        <f>-('8 NOA'!J15-'8 NOA'!I15)</f>
        <v>-786</v>
      </c>
    </row>
    <row r="14" spans="1:5" x14ac:dyDescent="0.25">
      <c r="A14" s="9" t="s">
        <v>128</v>
      </c>
      <c r="B14" s="254">
        <f>-('15 Aktiva upravená'!C24-'15 Aktiva upravená'!B24)</f>
        <v>0</v>
      </c>
      <c r="C14" s="24">
        <f>-('15 Aktiva upravená'!D24-'15 Aktiva upravená'!C24)</f>
        <v>0</v>
      </c>
      <c r="D14" s="25">
        <f>-('15 Aktiva upravená'!E24-'15 Aktiva upravená'!D24)</f>
        <v>0</v>
      </c>
    </row>
    <row r="15" spans="1:5" x14ac:dyDescent="0.25">
      <c r="A15" s="9" t="s">
        <v>118</v>
      </c>
      <c r="B15" s="254">
        <f>'16 Pasiva upravená'!C17-'16 Pasiva upravená'!B17</f>
        <v>7654</v>
      </c>
      <c r="C15" s="24">
        <f>'16 Pasiva upravená'!D17-'16 Pasiva upravená'!C17</f>
        <v>3442</v>
      </c>
      <c r="D15" s="25">
        <f>'16 Pasiva upravená'!E17-'16 Pasiva upravená'!D17</f>
        <v>2620</v>
      </c>
    </row>
    <row r="16" spans="1:5" s="4" customFormat="1" x14ac:dyDescent="0.25">
      <c r="A16" s="168" t="s">
        <v>119</v>
      </c>
      <c r="B16" s="284">
        <f>SUM(B7:B15)</f>
        <v>21323.361000000004</v>
      </c>
      <c r="C16" s="169">
        <f>SUM(C7:C15)</f>
        <v>19077.894999999997</v>
      </c>
      <c r="D16" s="170">
        <f>SUM(D7:D15)</f>
        <v>28427.705000000002</v>
      </c>
    </row>
    <row r="17" spans="1:6" x14ac:dyDescent="0.25">
      <c r="A17" s="9" t="s">
        <v>251</v>
      </c>
      <c r="B17" s="254">
        <f>-'6 Marketing'!C11</f>
        <v>-3600</v>
      </c>
      <c r="C17" s="24">
        <f>-'6 Marketing'!D11</f>
        <v>0</v>
      </c>
      <c r="D17" s="25">
        <f>-'6 Marketing'!E11</f>
        <v>0</v>
      </c>
      <c r="F17" s="122"/>
    </row>
    <row r="18" spans="1:6" x14ac:dyDescent="0.25">
      <c r="A18" s="9" t="s">
        <v>225</v>
      </c>
      <c r="B18" s="254">
        <f>-('15 Aktiva upravená'!C9-'15 Aktiva upravená'!B9+B8+B9)</f>
        <v>-5149</v>
      </c>
      <c r="C18" s="24">
        <f>-('15 Aktiva upravená'!D9-'15 Aktiva upravená'!C9+C8+C9)</f>
        <v>-6000</v>
      </c>
      <c r="D18" s="25">
        <f>-('15 Aktiva upravená'!E9-'15 Aktiva upravená'!D9+D8+D9)</f>
        <v>-5500</v>
      </c>
    </row>
    <row r="19" spans="1:6" s="4" customFormat="1" ht="16.5" thickBot="1" x14ac:dyDescent="0.3">
      <c r="A19" s="280" t="s">
        <v>253</v>
      </c>
      <c r="B19" s="285">
        <f>SUM(B16:B18)</f>
        <v>12574.361000000004</v>
      </c>
      <c r="C19" s="286">
        <f>SUM(C16:C18)</f>
        <v>13077.894999999997</v>
      </c>
      <c r="D19" s="287">
        <f>SUM(D16:D18)</f>
        <v>22927.705000000002</v>
      </c>
    </row>
    <row r="20" spans="1:6" ht="23.25" customHeight="1" thickBot="1" x14ac:dyDescent="0.3">
      <c r="A20" s="5" t="s">
        <v>227</v>
      </c>
      <c r="B20" s="229"/>
      <c r="C20" s="228"/>
      <c r="D20" s="228"/>
      <c r="E20" s="228"/>
    </row>
    <row r="21" spans="1:6" s="4" customFormat="1" x14ac:dyDescent="0.25">
      <c r="A21" s="288" t="s">
        <v>21</v>
      </c>
      <c r="B21" s="289">
        <f>'13 Výsledovka upravená'!C18</f>
        <v>700</v>
      </c>
      <c r="C21" s="290">
        <f>'13 Výsledovka upravená'!D18</f>
        <v>700</v>
      </c>
      <c r="D21" s="291">
        <f>'13 Výsledovka upravená'!E18</f>
        <v>700</v>
      </c>
    </row>
    <row r="22" spans="1:6" s="4" customFormat="1" ht="16.5" thickBot="1" x14ac:dyDescent="0.3">
      <c r="A22" s="280" t="s">
        <v>228</v>
      </c>
      <c r="B22" s="285">
        <f>B21</f>
        <v>700</v>
      </c>
      <c r="C22" s="286">
        <f>C21</f>
        <v>700</v>
      </c>
      <c r="D22" s="287">
        <f>D21</f>
        <v>700</v>
      </c>
    </row>
    <row r="23" spans="1:6" ht="23.25" customHeight="1" thickBot="1" x14ac:dyDescent="0.3">
      <c r="A23" s="5" t="s">
        <v>229</v>
      </c>
      <c r="B23" s="229"/>
      <c r="C23" s="228"/>
      <c r="D23" s="228"/>
      <c r="E23" s="228"/>
    </row>
    <row r="24" spans="1:6" ht="18.75" customHeight="1" x14ac:dyDescent="0.25">
      <c r="A24" s="292" t="s">
        <v>230</v>
      </c>
      <c r="B24" s="293">
        <f>-'13 Výsledovka upravená'!C23</f>
        <v>859.39500357072461</v>
      </c>
      <c r="C24" s="294">
        <f>-'13 Výsledovka upravená'!D23</f>
        <v>678.95666821884527</v>
      </c>
      <c r="D24" s="295">
        <f>-'13 Výsledovka upravená'!E23</f>
        <v>267.86200000000002</v>
      </c>
      <c r="E24" s="228"/>
    </row>
    <row r="25" spans="1:6" ht="15.75" customHeight="1" x14ac:dyDescent="0.25">
      <c r="A25" s="9" t="s">
        <v>240</v>
      </c>
      <c r="B25" s="254">
        <f>-'13 Výsledovka upravená'!C21</f>
        <v>-1758.65</v>
      </c>
      <c r="C25" s="232">
        <f>-'13 Výsledovka upravená'!D21</f>
        <v>-1985.3500000000001</v>
      </c>
      <c r="D25" s="296">
        <f>-'13 Výsledovka upravená'!E21</f>
        <v>-2109.8000000000002</v>
      </c>
      <c r="E25" s="228"/>
    </row>
    <row r="26" spans="1:6" ht="15.75" customHeight="1" x14ac:dyDescent="0.25">
      <c r="A26" s="9" t="s">
        <v>217</v>
      </c>
      <c r="B26" s="254">
        <f>-'13 Výsledovka upravená'!C22</f>
        <v>-3464.4815977406556</v>
      </c>
      <c r="C26" s="232">
        <f>-'13 Výsledovka upravená'!D22</f>
        <v>-2288.1061485202381</v>
      </c>
      <c r="D26" s="296">
        <f>-'13 Výsledovka upravená'!E22</f>
        <v>0</v>
      </c>
      <c r="E26" s="228"/>
    </row>
    <row r="27" spans="1:6" x14ac:dyDescent="0.25">
      <c r="A27" s="9" t="s">
        <v>122</v>
      </c>
      <c r="B27" s="254">
        <f>-'13 Výsledovka upravená'!B26</f>
        <v>-5000</v>
      </c>
      <c r="C27" s="24">
        <f>-'13 Výsledovka upravená'!C26</f>
        <v>-5000</v>
      </c>
      <c r="D27" s="25">
        <f>-'13 Výsledovka upravená'!D26</f>
        <v>-5000</v>
      </c>
    </row>
    <row r="28" spans="1:6" x14ac:dyDescent="0.25">
      <c r="A28" s="9" t="s">
        <v>123</v>
      </c>
      <c r="B28" s="254">
        <f>'16 Pasiva upravená'!C14-'16 Pasiva upravená'!B14+'16 Pasiva upravená'!C15-'16 Pasiva upravená'!B15</f>
        <v>4534</v>
      </c>
      <c r="C28" s="24">
        <f>'16 Pasiva upravená'!D14-'16 Pasiva upravená'!C14+'16 Pasiva upravená'!D15-'16 Pasiva upravená'!C15</f>
        <v>2489</v>
      </c>
      <c r="D28" s="25">
        <f>'16 Pasiva upravená'!E14-'16 Pasiva upravená'!D14+'16 Pasiva upravená'!E15-'16 Pasiva upravená'!D15</f>
        <v>0</v>
      </c>
    </row>
    <row r="29" spans="1:6" x14ac:dyDescent="0.25">
      <c r="A29" s="9" t="s">
        <v>226</v>
      </c>
      <c r="B29" s="254">
        <f>'16 Pasiva upravená'!C16-'16 Pasiva upravená'!B16</f>
        <v>-6535.5184022593439</v>
      </c>
      <c r="C29" s="24">
        <f>'16 Pasiva upravená'!D16-'16 Pasiva upravená'!C16</f>
        <v>-12711.893851479765</v>
      </c>
      <c r="D29" s="25">
        <f>'16 Pasiva upravená'!E16-'16 Pasiva upravená'!D16</f>
        <v>0</v>
      </c>
    </row>
    <row r="30" spans="1:6" ht="16.5" thickBot="1" x14ac:dyDescent="0.3">
      <c r="A30" s="280" t="s">
        <v>231</v>
      </c>
      <c r="B30" s="285">
        <f>SUM(B24:B29)</f>
        <v>-11365.254996429276</v>
      </c>
      <c r="C30" s="286">
        <f>SUM(C24:C29)</f>
        <v>-18817.393331781157</v>
      </c>
      <c r="D30" s="287">
        <f>SUM(D24:D29)</f>
        <v>-6841.9380000000001</v>
      </c>
    </row>
    <row r="31" spans="1:6" ht="23.25" customHeight="1" thickBot="1" x14ac:dyDescent="0.3">
      <c r="A31" s="5" t="s">
        <v>232</v>
      </c>
      <c r="B31" s="229"/>
      <c r="C31" s="228"/>
      <c r="D31" s="228"/>
      <c r="E31" s="228"/>
    </row>
    <row r="32" spans="1:6" x14ac:dyDescent="0.25">
      <c r="A32" s="427" t="s">
        <v>127</v>
      </c>
      <c r="B32" s="428">
        <f>B19+B22+B30</f>
        <v>1909.1060035707287</v>
      </c>
      <c r="C32" s="428">
        <f>C19+C22+C30</f>
        <v>-5039.4983317811602</v>
      </c>
      <c r="D32" s="429">
        <f>D19+D22+D30</f>
        <v>16785.767</v>
      </c>
    </row>
    <row r="33" spans="1:7" ht="16.5" thickBot="1" x14ac:dyDescent="0.3">
      <c r="A33" s="250" t="s">
        <v>235</v>
      </c>
      <c r="B33" s="299">
        <f>B5+B32</f>
        <v>11247.712831781157</v>
      </c>
      <c r="C33" s="299">
        <f>C5+C32</f>
        <v>6208.2144999999964</v>
      </c>
      <c r="D33" s="300">
        <f>D5+D32</f>
        <v>22993.981499999994</v>
      </c>
    </row>
    <row r="35" spans="1:7" ht="16.5" thickBot="1" x14ac:dyDescent="0.3">
      <c r="A35" s="382" t="s">
        <v>252</v>
      </c>
    </row>
    <row r="36" spans="1:7" x14ac:dyDescent="0.25">
      <c r="A36" s="301" t="s">
        <v>236</v>
      </c>
      <c r="B36" s="297">
        <f>'4 Cash flow'!B19</f>
        <v>12668.019500000002</v>
      </c>
      <c r="C36" s="297">
        <f>'4 Cash flow'!C19</f>
        <v>8995.3265000000029</v>
      </c>
      <c r="D36" s="298">
        <f>'4 Cash flow'!D19</f>
        <v>16166.432000000001</v>
      </c>
    </row>
    <row r="37" spans="1:7" x14ac:dyDescent="0.25">
      <c r="A37" s="362" t="s">
        <v>237</v>
      </c>
      <c r="B37" s="24">
        <f>-'7 Leasing'!D17</f>
        <v>-10000</v>
      </c>
      <c r="C37" s="232">
        <f>-'7 Leasing'!E17</f>
        <v>-15000</v>
      </c>
      <c r="D37" s="296">
        <f>-'7 Leasing'!F17</f>
        <v>0</v>
      </c>
    </row>
    <row r="38" spans="1:7" x14ac:dyDescent="0.25">
      <c r="A38" s="362" t="s">
        <v>233</v>
      </c>
      <c r="B38" s="24">
        <f>B13</f>
        <v>-2296.1999999999989</v>
      </c>
      <c r="C38" s="232">
        <f>C13</f>
        <v>-1032.6000000000004</v>
      </c>
      <c r="D38" s="296">
        <f>D13</f>
        <v>-786</v>
      </c>
    </row>
    <row r="39" spans="1:7" x14ac:dyDescent="0.25">
      <c r="A39" s="362" t="s">
        <v>238</v>
      </c>
      <c r="B39" s="24">
        <f>'13 Výsledovka upravená'!C33</f>
        <v>1537.2865035707246</v>
      </c>
      <c r="C39" s="232">
        <f>'13 Výsledovka upravená'!D33</f>
        <v>1997.775168218845</v>
      </c>
      <c r="D39" s="296">
        <f>'13 Výsledovka upravená'!E33</f>
        <v>1405.335</v>
      </c>
      <c r="F39" s="122"/>
      <c r="G39" s="122"/>
    </row>
    <row r="40" spans="1:7" ht="16.5" thickBot="1" x14ac:dyDescent="0.3">
      <c r="A40" s="430" t="s">
        <v>239</v>
      </c>
      <c r="B40" s="431">
        <f>SUM(B36:B39)</f>
        <v>1909.1060035707278</v>
      </c>
      <c r="C40" s="431">
        <f>SUM(C36:C39)</f>
        <v>-5039.498331781153</v>
      </c>
      <c r="D40" s="432">
        <f>SUM(D36:D39)</f>
        <v>16785.767</v>
      </c>
    </row>
    <row r="42" spans="1:7" x14ac:dyDescent="0.25">
      <c r="B42" s="122"/>
      <c r="C42" s="122"/>
      <c r="D42" s="122"/>
    </row>
    <row r="44" spans="1:7" x14ac:dyDescent="0.25">
      <c r="B44" s="122"/>
    </row>
  </sheetData>
  <hyperlinks>
    <hyperlink ref="E1" location="Obsah!A1" display="Skok na obsah" xr:uid="{00000000-0004-0000-0E00-000000000000}"/>
  </hyperlinks>
  <printOptions horizontalCentered="1" gridLinesSet="0"/>
  <pageMargins left="0.59055118110236227" right="0.59055118110236227" top="1.1811023622047245" bottom="0.98425196850393704" header="0.51181102362204722" footer="0.51181102362204722"/>
  <pageSetup paperSize="9" orientation="portrait" r:id="rId1"/>
  <headerFooter alignWithMargins="0">
    <oddHeader>&amp;L&amp;"Arial CE,Obyčejné"&amp;10Mařík, M. a kol.: Metody oceňování podniku pro pokročilé
Ekopress 2023&amp;R&amp;"Arial CE,Obyčejné"&amp;10Komplexní příklad EVA</oddHeader>
    <oddFooter>&amp;C&amp;A&amp;R&amp;"Arial CE,Kurzíva"&amp;10© M. Mařík, P. Maříková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39"/>
  <sheetViews>
    <sheetView showGridLines="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.75" x14ac:dyDescent="0.25"/>
  <cols>
    <col min="1" max="1" width="39.75" customWidth="1"/>
  </cols>
  <sheetData>
    <row r="1" spans="1:6" x14ac:dyDescent="0.25">
      <c r="E1" s="221" t="s">
        <v>203</v>
      </c>
    </row>
    <row r="2" spans="1:6" x14ac:dyDescent="0.25">
      <c r="A2" s="256" t="s">
        <v>244</v>
      </c>
      <c r="B2" s="7"/>
      <c r="C2" s="7"/>
      <c r="D2" s="7"/>
    </row>
    <row r="3" spans="1:6" ht="16.5" thickBot="1" x14ac:dyDescent="0.3">
      <c r="A3" s="350" t="s">
        <v>245</v>
      </c>
      <c r="B3" s="7"/>
      <c r="C3" s="7"/>
      <c r="D3" s="7"/>
      <c r="E3" s="221"/>
    </row>
    <row r="4" spans="1:6" ht="16.5" thickBot="1" x14ac:dyDescent="0.3">
      <c r="A4" s="387" t="s">
        <v>6</v>
      </c>
      <c r="B4" s="388">
        <f>rok</f>
        <v>2022</v>
      </c>
      <c r="C4" s="389">
        <f>B4+1</f>
        <v>2023</v>
      </c>
      <c r="D4" s="390">
        <f>C4+1</f>
        <v>2024</v>
      </c>
      <c r="E4" s="391">
        <f>D4+1</f>
        <v>2025</v>
      </c>
    </row>
    <row r="5" spans="1:6" ht="16.5" thickBot="1" x14ac:dyDescent="0.3">
      <c r="A5" s="17" t="s">
        <v>7</v>
      </c>
      <c r="B5" s="108">
        <f>(B16+B6)</f>
        <v>142593.70682821044</v>
      </c>
      <c r="C5" s="32">
        <f>(C16+C6)</f>
        <v>155262.51283178115</v>
      </c>
      <c r="D5" s="32">
        <f>(D16+D6)</f>
        <v>152931.1145</v>
      </c>
      <c r="E5" s="33">
        <f>(E16+E6)</f>
        <v>167294.38149999999</v>
      </c>
    </row>
    <row r="6" spans="1:6" x14ac:dyDescent="0.25">
      <c r="A6" s="13" t="s">
        <v>279</v>
      </c>
      <c r="B6" s="102">
        <f>B7+B9+B14</f>
        <v>85643.5</v>
      </c>
      <c r="C6" s="20">
        <f>C7+C9+C14</f>
        <v>81666</v>
      </c>
      <c r="D6" s="20">
        <f>D7+D9+D14</f>
        <v>74439.5</v>
      </c>
      <c r="E6" s="21">
        <f>E7+E9+E14</f>
        <v>67043</v>
      </c>
    </row>
    <row r="7" spans="1:6" x14ac:dyDescent="0.25">
      <c r="A7" s="8" t="s">
        <v>305</v>
      </c>
      <c r="B7" s="103">
        <f>B8</f>
        <v>1660</v>
      </c>
      <c r="C7" s="251">
        <f>C8</f>
        <v>3230</v>
      </c>
      <c r="D7" s="252">
        <f>D8</f>
        <v>1200</v>
      </c>
      <c r="E7" s="23">
        <f>E8</f>
        <v>0</v>
      </c>
    </row>
    <row r="8" spans="1:6" x14ac:dyDescent="0.25">
      <c r="A8" s="14" t="s">
        <v>223</v>
      </c>
      <c r="B8" s="105">
        <f>'6 Marketing'!B17</f>
        <v>1660</v>
      </c>
      <c r="C8" s="26">
        <f>'6 Marketing'!C17</f>
        <v>3230</v>
      </c>
      <c r="D8" s="26">
        <f>'6 Marketing'!D17</f>
        <v>1200</v>
      </c>
      <c r="E8" s="27">
        <f>'6 Marketing'!E17</f>
        <v>0</v>
      </c>
    </row>
    <row r="9" spans="1:6" x14ac:dyDescent="0.25">
      <c r="A9" s="8" t="s">
        <v>8</v>
      </c>
      <c r="B9" s="103">
        <f>SUM(B10:B13)</f>
        <v>72983.5</v>
      </c>
      <c r="C9" s="22">
        <f>SUM(C10:C13)</f>
        <v>67436</v>
      </c>
      <c r="D9" s="22">
        <f>SUM(D10:D13)</f>
        <v>62239.5</v>
      </c>
      <c r="E9" s="23">
        <f>SUM(E10:E13)</f>
        <v>56043</v>
      </c>
    </row>
    <row r="10" spans="1:6" x14ac:dyDescent="0.25">
      <c r="A10" s="9" t="s">
        <v>280</v>
      </c>
      <c r="B10" s="104">
        <v>4394</v>
      </c>
      <c r="C10" s="24">
        <v>8043</v>
      </c>
      <c r="D10" s="24">
        <v>8043</v>
      </c>
      <c r="E10" s="25">
        <v>8043</v>
      </c>
      <c r="F10" s="122"/>
    </row>
    <row r="11" spans="1:6" x14ac:dyDescent="0.25">
      <c r="A11" s="9" t="s">
        <v>281</v>
      </c>
      <c r="B11" s="104">
        <v>30000</v>
      </c>
      <c r="C11" s="24">
        <f>B11-1000</f>
        <v>29000</v>
      </c>
      <c r="D11" s="24">
        <f>C11-1000</f>
        <v>28000</v>
      </c>
      <c r="E11" s="25">
        <f>D11-1000</f>
        <v>27000</v>
      </c>
    </row>
    <row r="12" spans="1:6" x14ac:dyDescent="0.25">
      <c r="A12" s="9" t="s">
        <v>282</v>
      </c>
      <c r="B12" s="104">
        <v>20000</v>
      </c>
      <c r="C12" s="24">
        <v>18000</v>
      </c>
      <c r="D12" s="24">
        <v>20000</v>
      </c>
      <c r="E12" s="25">
        <v>21000</v>
      </c>
    </row>
    <row r="13" spans="1:6" x14ac:dyDescent="0.25">
      <c r="A13" s="14" t="s">
        <v>306</v>
      </c>
      <c r="B13" s="105">
        <f>'7 Leasing'!B31</f>
        <v>18589.5</v>
      </c>
      <c r="C13" s="26">
        <f>'7 Leasing'!C31</f>
        <v>12393</v>
      </c>
      <c r="D13" s="26">
        <f>'7 Leasing'!D31</f>
        <v>6196.5</v>
      </c>
      <c r="E13" s="27">
        <f>'7 Leasing'!E31</f>
        <v>0</v>
      </c>
    </row>
    <row r="14" spans="1:6" x14ac:dyDescent="0.25">
      <c r="A14" s="341" t="s">
        <v>224</v>
      </c>
      <c r="B14" s="342">
        <f>B15</f>
        <v>11000</v>
      </c>
      <c r="C14" s="343">
        <f>C15</f>
        <v>11000</v>
      </c>
      <c r="D14" s="343">
        <f>D15</f>
        <v>11000</v>
      </c>
      <c r="E14" s="344">
        <f>E15</f>
        <v>11000</v>
      </c>
    </row>
    <row r="15" spans="1:6" ht="16.5" thickBot="1" x14ac:dyDescent="0.3">
      <c r="A15" s="337" t="s">
        <v>283</v>
      </c>
      <c r="B15" s="338">
        <v>11000</v>
      </c>
      <c r="C15" s="339">
        <v>11000</v>
      </c>
      <c r="D15" s="339">
        <v>11000</v>
      </c>
      <c r="E15" s="340">
        <v>11000</v>
      </c>
    </row>
    <row r="16" spans="1:6" x14ac:dyDescent="0.25">
      <c r="A16" s="15" t="s">
        <v>10</v>
      </c>
      <c r="B16" s="106">
        <f>B17+B21+B24+B25</f>
        <v>56950.20682821043</v>
      </c>
      <c r="C16" s="253">
        <f t="shared" ref="C16:E16" si="0">C17+C21+C24+C25</f>
        <v>73596.512831781147</v>
      </c>
      <c r="D16" s="28">
        <f t="shared" si="0"/>
        <v>78491.614499999996</v>
      </c>
      <c r="E16" s="29">
        <f t="shared" si="0"/>
        <v>100251.38149999999</v>
      </c>
    </row>
    <row r="17" spans="1:5" x14ac:dyDescent="0.25">
      <c r="A17" s="8" t="s">
        <v>11</v>
      </c>
      <c r="B17" s="103">
        <f>SUM(B18:B20)</f>
        <v>12391</v>
      </c>
      <c r="C17" s="251">
        <f>SUM(C18:C20)</f>
        <v>19732</v>
      </c>
      <c r="D17" s="22">
        <f>SUM(D18:D20)</f>
        <v>23527</v>
      </c>
      <c r="E17" s="23">
        <f>SUM(E18:E20)</f>
        <v>25755</v>
      </c>
    </row>
    <row r="18" spans="1:5" x14ac:dyDescent="0.25">
      <c r="A18" s="9" t="s">
        <v>284</v>
      </c>
      <c r="B18" s="104">
        <v>4956</v>
      </c>
      <c r="C18" s="254">
        <v>7893</v>
      </c>
      <c r="D18" s="24">
        <v>9411</v>
      </c>
      <c r="E18" s="25">
        <v>9962</v>
      </c>
    </row>
    <row r="19" spans="1:5" x14ac:dyDescent="0.25">
      <c r="A19" s="9" t="s">
        <v>285</v>
      </c>
      <c r="B19" s="104">
        <v>6196</v>
      </c>
      <c r="C19" s="254">
        <v>9866</v>
      </c>
      <c r="D19" s="24">
        <v>11764</v>
      </c>
      <c r="E19" s="25">
        <v>13120</v>
      </c>
    </row>
    <row r="20" spans="1:5" x14ac:dyDescent="0.25">
      <c r="A20" s="14" t="s">
        <v>286</v>
      </c>
      <c r="B20" s="105">
        <v>1239</v>
      </c>
      <c r="C20" s="255">
        <v>1973</v>
      </c>
      <c r="D20" s="26">
        <v>2352</v>
      </c>
      <c r="E20" s="27">
        <v>2673</v>
      </c>
    </row>
    <row r="21" spans="1:5" x14ac:dyDescent="0.25">
      <c r="A21" s="8" t="s">
        <v>291</v>
      </c>
      <c r="B21" s="103">
        <f>B22+B23</f>
        <v>21361</v>
      </c>
      <c r="C21" s="251">
        <f>C22+C23</f>
        <v>26461</v>
      </c>
      <c r="D21" s="22">
        <f>D22+D23</f>
        <v>31568</v>
      </c>
      <c r="E21" s="23">
        <f>E22+E23</f>
        <v>33528</v>
      </c>
    </row>
    <row r="22" spans="1:5" x14ac:dyDescent="0.25">
      <c r="A22" s="9" t="s">
        <v>287</v>
      </c>
      <c r="B22" s="104">
        <v>20293</v>
      </c>
      <c r="C22" s="254">
        <v>25138</v>
      </c>
      <c r="D22" s="24">
        <v>29990</v>
      </c>
      <c r="E22" s="25">
        <v>31828</v>
      </c>
    </row>
    <row r="23" spans="1:5" x14ac:dyDescent="0.25">
      <c r="A23" s="14" t="s">
        <v>12</v>
      </c>
      <c r="B23" s="105">
        <v>1068</v>
      </c>
      <c r="C23" s="255">
        <v>1323</v>
      </c>
      <c r="D23" s="26">
        <v>1578</v>
      </c>
      <c r="E23" s="27">
        <v>1700</v>
      </c>
    </row>
    <row r="24" spans="1:5" x14ac:dyDescent="0.25">
      <c r="A24" s="433" t="s">
        <v>289</v>
      </c>
      <c r="B24" s="442">
        <v>5000</v>
      </c>
      <c r="C24" s="443">
        <v>5000</v>
      </c>
      <c r="D24" s="443">
        <v>5000</v>
      </c>
      <c r="E24" s="444">
        <v>5000</v>
      </c>
    </row>
    <row r="25" spans="1:5" x14ac:dyDescent="0.25">
      <c r="A25" s="8" t="s">
        <v>290</v>
      </c>
      <c r="B25" s="103">
        <f>B26+B27</f>
        <v>18198.20682821043</v>
      </c>
      <c r="C25" s="251">
        <f t="shared" ref="C25:E25" si="1">C26+C27</f>
        <v>22403.512831781154</v>
      </c>
      <c r="D25" s="22">
        <f t="shared" si="1"/>
        <v>18396.614499999996</v>
      </c>
      <c r="E25" s="23">
        <f t="shared" si="1"/>
        <v>35968.381499999996</v>
      </c>
    </row>
    <row r="26" spans="1:5" x14ac:dyDescent="0.25">
      <c r="A26" s="9" t="s">
        <v>307</v>
      </c>
      <c r="B26" s="104">
        <f>'8 NOA'!G15</f>
        <v>8859.6</v>
      </c>
      <c r="C26" s="254">
        <f>'8 NOA'!H15</f>
        <v>11155.8</v>
      </c>
      <c r="D26" s="24">
        <f>'8 NOA'!I15</f>
        <v>12188.4</v>
      </c>
      <c r="E26" s="25">
        <f>'8 NOA'!J15</f>
        <v>12974.4</v>
      </c>
    </row>
    <row r="27" spans="1:5" ht="16.5" thickBot="1" x14ac:dyDescent="0.3">
      <c r="A27" s="345" t="s">
        <v>308</v>
      </c>
      <c r="B27" s="346">
        <f>'14 Cash flow upravené'!B5</f>
        <v>9338.6068282104279</v>
      </c>
      <c r="C27" s="347">
        <f>'14 Cash flow upravené'!B33</f>
        <v>11247.712831781157</v>
      </c>
      <c r="D27" s="348">
        <f>'14 Cash flow upravené'!C33</f>
        <v>6208.2144999999964</v>
      </c>
      <c r="E27" s="349">
        <f>'14 Cash flow upravené'!D33</f>
        <v>22993.981499999994</v>
      </c>
    </row>
    <row r="30" spans="1:5" x14ac:dyDescent="0.25">
      <c r="B30" s="122"/>
      <c r="C30" s="122"/>
      <c r="D30" s="122"/>
      <c r="E30" s="122"/>
    </row>
    <row r="31" spans="1:5" x14ac:dyDescent="0.25">
      <c r="C31" s="122"/>
      <c r="D31" s="122"/>
      <c r="E31" s="122"/>
    </row>
    <row r="33" spans="2:5" x14ac:dyDescent="0.25">
      <c r="B33" s="122"/>
      <c r="C33" s="122"/>
      <c r="D33" s="122"/>
      <c r="E33" s="122"/>
    </row>
    <row r="34" spans="2:5" x14ac:dyDescent="0.25">
      <c r="B34" s="122"/>
      <c r="C34" s="122"/>
      <c r="D34" s="122"/>
      <c r="E34" s="122"/>
    </row>
    <row r="36" spans="2:5" x14ac:dyDescent="0.25">
      <c r="B36" s="122"/>
      <c r="C36" s="122"/>
      <c r="D36" s="122"/>
      <c r="E36" s="122"/>
    </row>
    <row r="37" spans="2:5" x14ac:dyDescent="0.25">
      <c r="B37" s="122"/>
      <c r="C37" s="122"/>
      <c r="D37" s="122"/>
      <c r="E37" s="122"/>
    </row>
    <row r="38" spans="2:5" x14ac:dyDescent="0.25">
      <c r="B38" s="122"/>
      <c r="C38" s="122"/>
      <c r="D38" s="122"/>
      <c r="E38" s="122"/>
    </row>
    <row r="39" spans="2:5" x14ac:dyDescent="0.25">
      <c r="C39" s="122"/>
      <c r="D39" s="122"/>
      <c r="E39" s="122"/>
    </row>
  </sheetData>
  <hyperlinks>
    <hyperlink ref="E1" location="Obsah!A1" display="Skok na obsah" xr:uid="{00000000-0004-0000-0F00-000000000000}"/>
  </hyperlinks>
  <printOptions horizontalCentered="1" gridLinesSet="0"/>
  <pageMargins left="0.59055118110236227" right="0.59055118110236227" top="1.1811023622047245" bottom="0.98425196850393704" header="0.51181102362204722" footer="0.51181102362204722"/>
  <pageSetup paperSize="9" orientation="portrait" r:id="rId1"/>
  <headerFooter alignWithMargins="0">
    <oddHeader>&amp;L&amp;"Arial CE,Obyčejné"&amp;10Mařík, M. a kol.: Metody oceňování podniku pro pokročilé
Ekopress 2023&amp;R&amp;"Arial CE,Obyčejné"&amp;10Komplexní příklad EVA</oddHeader>
    <oddFooter>&amp;C&amp;A&amp;R&amp;"Arial CE,Kurzíva"&amp;10© M. Mařík, P. Maříková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F42"/>
  <sheetViews>
    <sheetView showGridLines="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.75" x14ac:dyDescent="0.25"/>
  <cols>
    <col min="1" max="1" width="36.25" customWidth="1"/>
  </cols>
  <sheetData>
    <row r="1" spans="1:5" x14ac:dyDescent="0.25">
      <c r="E1" s="221" t="s">
        <v>203</v>
      </c>
    </row>
    <row r="2" spans="1:5" x14ac:dyDescent="0.25">
      <c r="A2" s="256" t="s">
        <v>244</v>
      </c>
      <c r="B2" s="7"/>
      <c r="C2" s="7"/>
      <c r="D2" s="7"/>
    </row>
    <row r="3" spans="1:5" ht="16.5" thickBot="1" x14ac:dyDescent="0.3">
      <c r="A3" s="350" t="s">
        <v>245</v>
      </c>
      <c r="B3" s="7"/>
      <c r="C3" s="7"/>
      <c r="D3" s="7"/>
    </row>
    <row r="4" spans="1:5" ht="16.5" thickBot="1" x14ac:dyDescent="0.3">
      <c r="A4" s="387" t="s">
        <v>13</v>
      </c>
      <c r="B4" s="388">
        <f>'15 Aktiva upravená'!B4</f>
        <v>2022</v>
      </c>
      <c r="C4" s="389">
        <f>'15 Aktiva upravená'!C4</f>
        <v>2023</v>
      </c>
      <c r="D4" s="390">
        <f>'15 Aktiva upravená'!D4</f>
        <v>2024</v>
      </c>
      <c r="E4" s="391">
        <f>'15 Aktiva upravená'!E4</f>
        <v>2025</v>
      </c>
    </row>
    <row r="5" spans="1:5" ht="16.5" thickBot="1" x14ac:dyDescent="0.3">
      <c r="A5" s="17" t="s">
        <v>14</v>
      </c>
      <c r="B5" s="108">
        <f>(B12+B6)</f>
        <v>142593.70682821044</v>
      </c>
      <c r="C5" s="32">
        <f>(C12+C6)</f>
        <v>155262.51283178118</v>
      </c>
      <c r="D5" s="32">
        <f>(D12+D6)</f>
        <v>152931.1145</v>
      </c>
      <c r="E5" s="33">
        <f>(E12+E6)</f>
        <v>167294.38150000002</v>
      </c>
    </row>
    <row r="6" spans="1:5" x14ac:dyDescent="0.25">
      <c r="A6" s="15" t="s">
        <v>15</v>
      </c>
      <c r="B6" s="102">
        <f>SUM(B7:B11)</f>
        <v>57041.294574471322</v>
      </c>
      <c r="C6" s="253">
        <f>SUM(C7:C11)</f>
        <v>64057.618980301399</v>
      </c>
      <c r="D6" s="275">
        <f>SUM(D7:D11)</f>
        <v>68507.114499999996</v>
      </c>
      <c r="E6" s="276">
        <f>SUM(E7:E11)</f>
        <v>80250.381500000003</v>
      </c>
    </row>
    <row r="7" spans="1:5" x14ac:dyDescent="0.25">
      <c r="A7" s="10" t="s">
        <v>16</v>
      </c>
      <c r="B7" s="109">
        <v>20000</v>
      </c>
      <c r="C7" s="438">
        <v>20000</v>
      </c>
      <c r="D7" s="34">
        <v>20000</v>
      </c>
      <c r="E7" s="35">
        <v>20000</v>
      </c>
    </row>
    <row r="8" spans="1:5" x14ac:dyDescent="0.25">
      <c r="A8" s="10" t="s">
        <v>294</v>
      </c>
      <c r="B8" s="109">
        <v>6000</v>
      </c>
      <c r="C8" s="438">
        <v>6000</v>
      </c>
      <c r="D8" s="34">
        <v>6000</v>
      </c>
      <c r="E8" s="35">
        <v>6000</v>
      </c>
    </row>
    <row r="9" spans="1:5" x14ac:dyDescent="0.25">
      <c r="A9" s="10" t="s">
        <v>293</v>
      </c>
      <c r="B9" s="109">
        <v>4000</v>
      </c>
      <c r="C9" s="438">
        <v>4000</v>
      </c>
      <c r="D9" s="34">
        <v>4000</v>
      </c>
      <c r="E9" s="35">
        <v>4000</v>
      </c>
    </row>
    <row r="10" spans="1:5" x14ac:dyDescent="0.25">
      <c r="A10" s="10" t="s">
        <v>17</v>
      </c>
      <c r="B10" s="109">
        <v>18071</v>
      </c>
      <c r="C10" s="438">
        <f>B10+'13 Výsledovka upravená'!B27-(C9-B9)</f>
        <v>22041.294574471322</v>
      </c>
      <c r="D10" s="34">
        <f>C10+'13 Výsledovka upravená'!C27-(D9-C9)</f>
        <v>29057.618980301395</v>
      </c>
      <c r="E10" s="35">
        <f>D10+'13 Výsledovka upravená'!D27-(E9-D9)</f>
        <v>33507.114499999996</v>
      </c>
    </row>
    <row r="11" spans="1:5" ht="16.5" thickBot="1" x14ac:dyDescent="0.3">
      <c r="A11" s="245" t="s">
        <v>292</v>
      </c>
      <c r="B11" s="246">
        <f>'13 Výsledovka upravená'!B24</f>
        <v>8970.2945744713234</v>
      </c>
      <c r="C11" s="277">
        <f>'13 Výsledovka upravená'!C24</f>
        <v>12016.324405830073</v>
      </c>
      <c r="D11" s="439">
        <f>'13 Výsledovka upravená'!D24</f>
        <v>9449.4955196986048</v>
      </c>
      <c r="E11" s="440">
        <f>'13 Výsledovka upravená'!E24</f>
        <v>16743.267000000003</v>
      </c>
    </row>
    <row r="12" spans="1:5" x14ac:dyDescent="0.25">
      <c r="A12" s="15" t="s">
        <v>295</v>
      </c>
      <c r="B12" s="106">
        <f>B13+B17</f>
        <v>85552.412253739109</v>
      </c>
      <c r="C12" s="28">
        <f t="shared" ref="C12:E12" si="0">C13+C17</f>
        <v>91204.893851479763</v>
      </c>
      <c r="D12" s="28">
        <f t="shared" si="0"/>
        <v>84424</v>
      </c>
      <c r="E12" s="29">
        <f t="shared" si="0"/>
        <v>87044</v>
      </c>
    </row>
    <row r="13" spans="1:5" x14ac:dyDescent="0.25">
      <c r="A13" s="8" t="s">
        <v>296</v>
      </c>
      <c r="B13" s="415">
        <f>B14+B15+B16</f>
        <v>56020.412253739109</v>
      </c>
      <c r="C13" s="416">
        <f t="shared" ref="C13:E13" si="1">C14+C15+C16</f>
        <v>54018.893851479763</v>
      </c>
      <c r="D13" s="416">
        <f t="shared" si="1"/>
        <v>43796</v>
      </c>
      <c r="E13" s="417">
        <f t="shared" si="1"/>
        <v>43796</v>
      </c>
    </row>
    <row r="14" spans="1:5" x14ac:dyDescent="0.25">
      <c r="A14" s="413" t="s">
        <v>297</v>
      </c>
      <c r="B14" s="422">
        <v>8000</v>
      </c>
      <c r="C14" s="423">
        <f>B14</f>
        <v>8000</v>
      </c>
      <c r="D14" s="423">
        <f>C14</f>
        <v>8000</v>
      </c>
      <c r="E14" s="424">
        <f>D14</f>
        <v>8000</v>
      </c>
    </row>
    <row r="15" spans="1:5" x14ac:dyDescent="0.25">
      <c r="A15" s="413" t="s">
        <v>298</v>
      </c>
      <c r="B15" s="422">
        <v>28773</v>
      </c>
      <c r="C15" s="423">
        <v>33307</v>
      </c>
      <c r="D15" s="423">
        <v>35796</v>
      </c>
      <c r="E15" s="424">
        <v>35796</v>
      </c>
    </row>
    <row r="16" spans="1:5" ht="16.5" thickBot="1" x14ac:dyDescent="0.3">
      <c r="A16" s="434" t="s">
        <v>309</v>
      </c>
      <c r="B16" s="421">
        <f>'7 Leasing'!B28</f>
        <v>19247.412253739109</v>
      </c>
      <c r="C16" s="435">
        <f>'7 Leasing'!C28</f>
        <v>12711.893851479765</v>
      </c>
      <c r="D16" s="436">
        <f>'7 Leasing'!D28</f>
        <v>0</v>
      </c>
      <c r="E16" s="437">
        <f>'7 Leasing'!E28</f>
        <v>0</v>
      </c>
    </row>
    <row r="17" spans="1:5" x14ac:dyDescent="0.25">
      <c r="A17" s="8" t="s">
        <v>299</v>
      </c>
      <c r="B17" s="441">
        <f>B18+B19</f>
        <v>29532</v>
      </c>
      <c r="C17" s="282">
        <f>C18+C19</f>
        <v>37186</v>
      </c>
      <c r="D17" s="282">
        <f>D18+D19</f>
        <v>40628</v>
      </c>
      <c r="E17" s="283">
        <f>E18+E19</f>
        <v>43248</v>
      </c>
    </row>
    <row r="18" spans="1:5" x14ac:dyDescent="0.25">
      <c r="A18" s="9" t="s">
        <v>300</v>
      </c>
      <c r="B18" s="104">
        <v>24821</v>
      </c>
      <c r="C18" s="24">
        <v>30591</v>
      </c>
      <c r="D18" s="24">
        <v>32884</v>
      </c>
      <c r="E18" s="25">
        <v>34987</v>
      </c>
    </row>
    <row r="19" spans="1:5" ht="16.5" thickBot="1" x14ac:dyDescent="0.3">
      <c r="A19" s="16" t="s">
        <v>301</v>
      </c>
      <c r="B19" s="107">
        <v>4711</v>
      </c>
      <c r="C19" s="30">
        <v>6595</v>
      </c>
      <c r="D19" s="30">
        <v>7744</v>
      </c>
      <c r="E19" s="31">
        <v>8261</v>
      </c>
    </row>
    <row r="21" spans="1:5" ht="16.5" thickBot="1" x14ac:dyDescent="0.3">
      <c r="A21" s="256" t="s">
        <v>241</v>
      </c>
      <c r="B21" s="122"/>
    </row>
    <row r="22" spans="1:5" x14ac:dyDescent="0.25">
      <c r="A22" s="361" t="s">
        <v>242</v>
      </c>
      <c r="B22" s="361">
        <f>'15 Aktiva upravená'!B7+'15 Aktiva upravená'!B9</f>
        <v>74643.5</v>
      </c>
      <c r="C22" s="356">
        <f>'15 Aktiva upravená'!C7+'15 Aktiva upravená'!C9</f>
        <v>70666</v>
      </c>
      <c r="D22" s="356">
        <f>'15 Aktiva upravená'!D7+'15 Aktiva upravená'!D9</f>
        <v>63439.5</v>
      </c>
      <c r="E22" s="357">
        <f>'15 Aktiva upravená'!E7+'15 Aktiva upravená'!E9</f>
        <v>56043</v>
      </c>
    </row>
    <row r="23" spans="1:5" x14ac:dyDescent="0.25">
      <c r="A23" s="336" t="s">
        <v>243</v>
      </c>
      <c r="B23" s="366">
        <f>'15 Aktiva upravená'!B17+'15 Aktiva upravená'!B21+'15 Aktiva upravená'!B26-'16 Pasiva upravená'!B17</f>
        <v>13079.599999999999</v>
      </c>
      <c r="C23" s="367">
        <f>'15 Aktiva upravená'!C17+'15 Aktiva upravená'!C21+'15 Aktiva upravená'!C26-'16 Pasiva upravená'!C17</f>
        <v>20162.800000000003</v>
      </c>
      <c r="D23" s="367">
        <f>'15 Aktiva upravená'!D17+'15 Aktiva upravená'!D21+'15 Aktiva upravená'!D26-'16 Pasiva upravená'!D17</f>
        <v>26655.399999999994</v>
      </c>
      <c r="E23" s="368">
        <f>'15 Aktiva upravená'!E17+'15 Aktiva upravená'!E21+'15 Aktiva upravená'!E26-'16 Pasiva upravená'!E17</f>
        <v>29009.399999999994</v>
      </c>
    </row>
    <row r="24" spans="1:5" ht="16.5" thickBot="1" x14ac:dyDescent="0.3">
      <c r="A24" s="363" t="s">
        <v>193</v>
      </c>
      <c r="B24" s="365">
        <f>B22+B23</f>
        <v>87723.1</v>
      </c>
      <c r="C24" s="359">
        <f>C22+C23</f>
        <v>90828.800000000003</v>
      </c>
      <c r="D24" s="359">
        <f>D22+D23</f>
        <v>90094.9</v>
      </c>
      <c r="E24" s="360">
        <f>E22+E23</f>
        <v>85052.4</v>
      </c>
    </row>
    <row r="25" spans="1:5" x14ac:dyDescent="0.25">
      <c r="B25" s="122"/>
      <c r="C25" s="122"/>
      <c r="D25" s="122"/>
      <c r="E25" s="122"/>
    </row>
    <row r="26" spans="1:5" ht="16.5" thickBot="1" x14ac:dyDescent="0.3">
      <c r="A26" s="256" t="s">
        <v>254</v>
      </c>
    </row>
    <row r="27" spans="1:5" x14ac:dyDescent="0.25">
      <c r="A27" s="335" t="s">
        <v>255</v>
      </c>
      <c r="B27" s="361">
        <f>'15 Aktiva upravená'!B14</f>
        <v>11000</v>
      </c>
      <c r="C27" s="356">
        <f>'15 Aktiva upravená'!C14</f>
        <v>11000</v>
      </c>
      <c r="D27" s="356">
        <f>'15 Aktiva upravená'!D14</f>
        <v>11000</v>
      </c>
      <c r="E27" s="357">
        <f>'15 Aktiva upravená'!E14</f>
        <v>11000</v>
      </c>
    </row>
    <row r="28" spans="1:5" x14ac:dyDescent="0.25">
      <c r="A28" s="362" t="s">
        <v>256</v>
      </c>
      <c r="B28" s="364">
        <f>'15 Aktiva upravená'!B24</f>
        <v>5000</v>
      </c>
      <c r="C28" s="122">
        <f>'15 Aktiva upravená'!C24</f>
        <v>5000</v>
      </c>
      <c r="D28" s="122">
        <f>'15 Aktiva upravená'!D24</f>
        <v>5000</v>
      </c>
      <c r="E28" s="358">
        <f>'15 Aktiva upravená'!E24</f>
        <v>5000</v>
      </c>
    </row>
    <row r="29" spans="1:5" x14ac:dyDescent="0.25">
      <c r="A29" s="336" t="s">
        <v>98</v>
      </c>
      <c r="B29" s="366">
        <f>'15 Aktiva upravená'!B27</f>
        <v>9338.6068282104279</v>
      </c>
      <c r="C29" s="367">
        <f>'15 Aktiva upravená'!C27</f>
        <v>11247.712831781157</v>
      </c>
      <c r="D29" s="367">
        <f>'15 Aktiva upravená'!D27</f>
        <v>6208.2144999999964</v>
      </c>
      <c r="E29" s="368">
        <f>'15 Aktiva upravená'!E27</f>
        <v>22993.981499999994</v>
      </c>
    </row>
    <row r="30" spans="1:5" ht="16.5" thickBot="1" x14ac:dyDescent="0.3">
      <c r="A30" s="374" t="s">
        <v>257</v>
      </c>
      <c r="B30" s="375">
        <f>SUM(B27:B29)</f>
        <v>25338.606828210428</v>
      </c>
      <c r="C30" s="376">
        <f>SUM(C27:C29)</f>
        <v>27247.712831781158</v>
      </c>
      <c r="D30" s="376">
        <f>SUM(D27:D29)</f>
        <v>22208.214499999995</v>
      </c>
      <c r="E30" s="377">
        <f>SUM(E27:E29)</f>
        <v>38993.981499999994</v>
      </c>
    </row>
    <row r="31" spans="1:5" x14ac:dyDescent="0.25">
      <c r="B31" s="122"/>
      <c r="C31" s="122"/>
      <c r="D31" s="122"/>
      <c r="E31" s="122"/>
    </row>
    <row r="32" spans="1:5" ht="16.5" thickBot="1" x14ac:dyDescent="0.3">
      <c r="A32" s="382" t="s">
        <v>262</v>
      </c>
    </row>
    <row r="33" spans="1:6" x14ac:dyDescent="0.25">
      <c r="A33" s="378" t="s">
        <v>258</v>
      </c>
      <c r="B33" s="379">
        <f>'8 NOA'!G18</f>
        <v>23629.003499999999</v>
      </c>
      <c r="C33" s="380">
        <f>'8 NOA'!H18</f>
        <v>24000.823</v>
      </c>
      <c r="D33" s="380">
        <f>'8 NOA'!I18</f>
        <v>16963.549500000001</v>
      </c>
      <c r="E33" s="381">
        <f>'8 NOA'!J18</f>
        <v>32343.981500000002</v>
      </c>
      <c r="F33" s="122"/>
    </row>
    <row r="34" spans="1:6" x14ac:dyDescent="0.25">
      <c r="A34" s="362" t="s">
        <v>259</v>
      </c>
      <c r="B34" s="364">
        <f>'13 Výsledovka upravená'!B33</f>
        <v>1709.6033282104304</v>
      </c>
      <c r="C34" s="122">
        <f>'13 Výsledovka upravená'!C33</f>
        <v>1537.2865035707246</v>
      </c>
      <c r="D34" s="122">
        <f>'13 Výsledovka upravená'!D33</f>
        <v>1997.775168218845</v>
      </c>
      <c r="E34" s="358">
        <f>'13 Výsledovka upravená'!E33</f>
        <v>1405.335</v>
      </c>
    </row>
    <row r="35" spans="1:6" x14ac:dyDescent="0.25">
      <c r="A35" s="336" t="s">
        <v>260</v>
      </c>
      <c r="B35" s="366">
        <f>B34</f>
        <v>1709.6033282104304</v>
      </c>
      <c r="C35" s="367">
        <f>B35+C34</f>
        <v>3246.889831781155</v>
      </c>
      <c r="D35" s="367">
        <f>C35+D34</f>
        <v>5244.665</v>
      </c>
      <c r="E35" s="368">
        <f>D35+E34</f>
        <v>6650</v>
      </c>
    </row>
    <row r="36" spans="1:6" ht="16.5" thickBot="1" x14ac:dyDescent="0.3">
      <c r="A36" s="374" t="s">
        <v>261</v>
      </c>
      <c r="B36" s="375">
        <f>B33+B35</f>
        <v>25338.606828210428</v>
      </c>
      <c r="C36" s="376">
        <f>C33+C35</f>
        <v>27247.712831781155</v>
      </c>
      <c r="D36" s="376">
        <f>D33+D35</f>
        <v>22208.214500000002</v>
      </c>
      <c r="E36" s="377">
        <f>E33+E35</f>
        <v>38993.981500000002</v>
      </c>
    </row>
    <row r="38" spans="1:6" ht="16.5" thickBot="1" x14ac:dyDescent="0.3">
      <c r="A38" s="382" t="s">
        <v>263</v>
      </c>
    </row>
    <row r="39" spans="1:6" x14ac:dyDescent="0.25">
      <c r="A39" s="378" t="s">
        <v>264</v>
      </c>
      <c r="B39" s="379">
        <f>'1 Aktiva'!B5</f>
        <v>130634.6035</v>
      </c>
      <c r="C39" s="380">
        <f>'1 Aktiva'!C5</f>
        <v>156392.62299999999</v>
      </c>
      <c r="D39" s="380">
        <f>'1 Aktiva'!D5</f>
        <v>175289.94949999999</v>
      </c>
      <c r="E39" s="381">
        <f>'1 Aktiva'!E5</f>
        <v>195644.38150000002</v>
      </c>
    </row>
    <row r="40" spans="1:6" x14ac:dyDescent="0.25">
      <c r="A40" s="362" t="s">
        <v>265</v>
      </c>
      <c r="B40" s="364">
        <f>-'7 Leasing'!C17</f>
        <v>-10000</v>
      </c>
      <c r="C40" s="122">
        <f>B40-'7 Leasing'!D17</f>
        <v>-20000</v>
      </c>
      <c r="D40" s="122">
        <f>C40-'7 Leasing'!E17</f>
        <v>-35000</v>
      </c>
      <c r="E40" s="358">
        <f>D40-'7 Leasing'!F17</f>
        <v>-35000</v>
      </c>
    </row>
    <row r="41" spans="1:6" x14ac:dyDescent="0.25">
      <c r="A41" s="336" t="s">
        <v>260</v>
      </c>
      <c r="B41" s="366">
        <f>B35</f>
        <v>1709.6033282104304</v>
      </c>
      <c r="C41" s="367">
        <f>C35</f>
        <v>3246.889831781155</v>
      </c>
      <c r="D41" s="367">
        <f>D35</f>
        <v>5244.665</v>
      </c>
      <c r="E41" s="368">
        <f>E35</f>
        <v>6650</v>
      </c>
    </row>
    <row r="42" spans="1:6" ht="16.5" thickBot="1" x14ac:dyDescent="0.3">
      <c r="A42" s="374" t="s">
        <v>261</v>
      </c>
      <c r="B42" s="375">
        <f>SUM(B39:B41)</f>
        <v>122344.20682821043</v>
      </c>
      <c r="C42" s="376">
        <f>SUM(C39:C41)</f>
        <v>139639.51283178115</v>
      </c>
      <c r="D42" s="376">
        <f>SUM(D39:D41)</f>
        <v>145534.6145</v>
      </c>
      <c r="E42" s="377">
        <f>SUM(E39:E41)</f>
        <v>167294.38150000002</v>
      </c>
    </row>
  </sheetData>
  <hyperlinks>
    <hyperlink ref="E1" location="Obsah!A1" display="Skok na obsah" xr:uid="{00000000-0004-0000-1000-000000000000}"/>
  </hyperlinks>
  <printOptions horizontalCentered="1" gridLinesSet="0"/>
  <pageMargins left="0.59055118110236227" right="0.59055118110236227" top="1.1811023622047245" bottom="0.98425196850393704" header="0.51181102362204722" footer="0.51181102362204722"/>
  <pageSetup paperSize="9" orientation="portrait" r:id="rId1"/>
  <headerFooter alignWithMargins="0">
    <oddHeader>&amp;L&amp;"Arial CE,Obyčejné"&amp;10Mařík, M. a kol.: Metody oceňování podniku pro pokročilé
Ekopress 2023&amp;R&amp;"Arial CE,Obyčejné"&amp;10Komplexní příklad EVA</oddHeader>
    <oddFooter>&amp;C&amp;A&amp;R&amp;"Arial CE,Kurzíva"&amp;10© M. Mařík, P. Maříková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2"/>
  <sheetViews>
    <sheetView showGridLines="0" zoomScaleNormal="100" workbookViewId="0"/>
  </sheetViews>
  <sheetFormatPr defaultRowHeight="15.75" x14ac:dyDescent="0.25"/>
  <cols>
    <col min="1" max="1" width="35.625" customWidth="1"/>
  </cols>
  <sheetData>
    <row r="1" spans="1:6" x14ac:dyDescent="0.25">
      <c r="E1" s="221" t="s">
        <v>203</v>
      </c>
    </row>
    <row r="2" spans="1:6" x14ac:dyDescent="0.25">
      <c r="A2" s="256" t="s">
        <v>130</v>
      </c>
      <c r="B2" s="7"/>
      <c r="C2" s="7"/>
      <c r="D2" s="7"/>
    </row>
    <row r="3" spans="1:6" ht="16.5" thickBot="1" x14ac:dyDescent="0.3">
      <c r="A3" s="7"/>
      <c r="B3" s="7"/>
      <c r="C3" s="7"/>
      <c r="D3" s="7"/>
      <c r="E3" s="221"/>
    </row>
    <row r="4" spans="1:6" ht="16.5" thickBot="1" x14ac:dyDescent="0.3">
      <c r="A4" s="387" t="s">
        <v>6</v>
      </c>
      <c r="B4" s="388">
        <f>rok</f>
        <v>2022</v>
      </c>
      <c r="C4" s="389">
        <f>B4+1</f>
        <v>2023</v>
      </c>
      <c r="D4" s="390">
        <f>C4+1</f>
        <v>2024</v>
      </c>
      <c r="E4" s="391">
        <f>D4+1</f>
        <v>2025</v>
      </c>
    </row>
    <row r="5" spans="1:6" ht="16.5" thickBot="1" x14ac:dyDescent="0.3">
      <c r="A5" s="17" t="s">
        <v>7</v>
      </c>
      <c r="B5" s="108">
        <f>(B13+B6)</f>
        <v>130634.6035</v>
      </c>
      <c r="C5" s="32">
        <f>(C13+C6)</f>
        <v>156392.62299999999</v>
      </c>
      <c r="D5" s="32">
        <f>(D13+D6)</f>
        <v>175289.94949999999</v>
      </c>
      <c r="E5" s="33">
        <f>(E13+E6)</f>
        <v>195644.38150000002</v>
      </c>
    </row>
    <row r="6" spans="1:6" x14ac:dyDescent="0.25">
      <c r="A6" s="13" t="s">
        <v>279</v>
      </c>
      <c r="B6" s="102">
        <f>B7+B11</f>
        <v>65394</v>
      </c>
      <c r="C6" s="20">
        <f>C7+C11</f>
        <v>66043</v>
      </c>
      <c r="D6" s="20">
        <f>D7+D11</f>
        <v>67043</v>
      </c>
      <c r="E6" s="21">
        <f>E7+E11</f>
        <v>67043</v>
      </c>
    </row>
    <row r="7" spans="1:6" x14ac:dyDescent="0.25">
      <c r="A7" s="8" t="s">
        <v>8</v>
      </c>
      <c r="B7" s="103">
        <f>SUM(B8:B10)</f>
        <v>54394</v>
      </c>
      <c r="C7" s="22">
        <f>SUM(C8:C10)</f>
        <v>55043</v>
      </c>
      <c r="D7" s="22">
        <f>SUM(D8:D10)</f>
        <v>56043</v>
      </c>
      <c r="E7" s="23">
        <f>SUM(E8:E10)</f>
        <v>56043</v>
      </c>
    </row>
    <row r="8" spans="1:6" x14ac:dyDescent="0.25">
      <c r="A8" s="9" t="s">
        <v>280</v>
      </c>
      <c r="B8" s="104">
        <v>4394</v>
      </c>
      <c r="C8" s="24">
        <v>8043</v>
      </c>
      <c r="D8" s="24">
        <v>8043</v>
      </c>
      <c r="E8" s="25">
        <v>8043</v>
      </c>
      <c r="F8" s="122"/>
    </row>
    <row r="9" spans="1:6" x14ac:dyDescent="0.25">
      <c r="A9" s="9" t="s">
        <v>281</v>
      </c>
      <c r="B9" s="104">
        <v>30000</v>
      </c>
      <c r="C9" s="24">
        <f>B9-1000</f>
        <v>29000</v>
      </c>
      <c r="D9" s="24">
        <f>C9-1000</f>
        <v>28000</v>
      </c>
      <c r="E9" s="25">
        <f>D9-1000</f>
        <v>27000</v>
      </c>
    </row>
    <row r="10" spans="1:6" x14ac:dyDescent="0.25">
      <c r="A10" s="14" t="s">
        <v>282</v>
      </c>
      <c r="B10" s="105">
        <v>20000</v>
      </c>
      <c r="C10" s="26">
        <v>18000</v>
      </c>
      <c r="D10" s="26">
        <v>20000</v>
      </c>
      <c r="E10" s="27">
        <v>21000</v>
      </c>
    </row>
    <row r="11" spans="1:6" x14ac:dyDescent="0.25">
      <c r="A11" s="8" t="s">
        <v>9</v>
      </c>
      <c r="B11" s="103">
        <f>B12</f>
        <v>11000</v>
      </c>
      <c r="C11" s="22">
        <f>C12</f>
        <v>11000</v>
      </c>
      <c r="D11" s="22">
        <f>D12</f>
        <v>11000</v>
      </c>
      <c r="E11" s="23">
        <f>E12</f>
        <v>11000</v>
      </c>
    </row>
    <row r="12" spans="1:6" ht="16.5" thickBot="1" x14ac:dyDescent="0.3">
      <c r="A12" s="9" t="s">
        <v>283</v>
      </c>
      <c r="B12" s="104">
        <v>11000</v>
      </c>
      <c r="C12" s="24">
        <v>11000</v>
      </c>
      <c r="D12" s="24">
        <v>11000</v>
      </c>
      <c r="E12" s="25">
        <v>11000</v>
      </c>
    </row>
    <row r="13" spans="1:6" x14ac:dyDescent="0.25">
      <c r="A13" s="15" t="s">
        <v>10</v>
      </c>
      <c r="B13" s="106">
        <f>B14+B18+B21+B22</f>
        <v>65240.603499999997</v>
      </c>
      <c r="C13" s="28">
        <f>C14+C18+C21+C22</f>
        <v>90349.622999999992</v>
      </c>
      <c r="D13" s="28">
        <f>D14+D18+D21+D22</f>
        <v>108246.9495</v>
      </c>
      <c r="E13" s="29">
        <f>E14+E18+E21+E22</f>
        <v>128601.3815</v>
      </c>
    </row>
    <row r="14" spans="1:6" x14ac:dyDescent="0.25">
      <c r="A14" s="8" t="s">
        <v>11</v>
      </c>
      <c r="B14" s="103">
        <f>SUM(B15:B17)</f>
        <v>12391</v>
      </c>
      <c r="C14" s="22">
        <f>SUM(C15:C17)</f>
        <v>19732</v>
      </c>
      <c r="D14" s="22">
        <f>SUM(D15:D17)</f>
        <v>23527</v>
      </c>
      <c r="E14" s="23">
        <f>SUM(E15:E17)</f>
        <v>25755</v>
      </c>
    </row>
    <row r="15" spans="1:6" x14ac:dyDescent="0.25">
      <c r="A15" s="9" t="s">
        <v>284</v>
      </c>
      <c r="B15" s="104">
        <v>4956</v>
      </c>
      <c r="C15" s="24">
        <v>7893</v>
      </c>
      <c r="D15" s="24">
        <v>9411</v>
      </c>
      <c r="E15" s="25">
        <v>9962</v>
      </c>
    </row>
    <row r="16" spans="1:6" x14ac:dyDescent="0.25">
      <c r="A16" s="9" t="s">
        <v>285</v>
      </c>
      <c r="B16" s="104">
        <v>6196</v>
      </c>
      <c r="C16" s="24">
        <v>9866</v>
      </c>
      <c r="D16" s="24">
        <v>11764</v>
      </c>
      <c r="E16" s="25">
        <v>13120</v>
      </c>
    </row>
    <row r="17" spans="1:5" x14ac:dyDescent="0.25">
      <c r="A17" s="14" t="s">
        <v>286</v>
      </c>
      <c r="B17" s="105">
        <v>1239</v>
      </c>
      <c r="C17" s="26">
        <v>1973</v>
      </c>
      <c r="D17" s="26">
        <v>2352</v>
      </c>
      <c r="E17" s="27">
        <v>2673</v>
      </c>
    </row>
    <row r="18" spans="1:5" x14ac:dyDescent="0.25">
      <c r="A18" s="8" t="s">
        <v>291</v>
      </c>
      <c r="B18" s="103">
        <f>B19+B20</f>
        <v>21361</v>
      </c>
      <c r="C18" s="22">
        <f>C19+C20</f>
        <v>26461</v>
      </c>
      <c r="D18" s="22">
        <f>D19+D20</f>
        <v>31568</v>
      </c>
      <c r="E18" s="23">
        <f>E19+E20</f>
        <v>33528</v>
      </c>
    </row>
    <row r="19" spans="1:5" x14ac:dyDescent="0.25">
      <c r="A19" s="9" t="s">
        <v>287</v>
      </c>
      <c r="B19" s="104">
        <v>20293</v>
      </c>
      <c r="C19" s="24">
        <v>25138</v>
      </c>
      <c r="D19" s="24">
        <v>29990</v>
      </c>
      <c r="E19" s="25">
        <v>31828</v>
      </c>
    </row>
    <row r="20" spans="1:5" x14ac:dyDescent="0.25">
      <c r="A20" s="14" t="s">
        <v>288</v>
      </c>
      <c r="B20" s="105">
        <v>1068</v>
      </c>
      <c r="C20" s="26">
        <v>1323</v>
      </c>
      <c r="D20" s="26">
        <v>1578</v>
      </c>
      <c r="E20" s="27">
        <v>1700</v>
      </c>
    </row>
    <row r="21" spans="1:5" x14ac:dyDescent="0.25">
      <c r="A21" s="245" t="s">
        <v>289</v>
      </c>
      <c r="B21" s="246">
        <v>5000</v>
      </c>
      <c r="C21" s="231">
        <v>5000</v>
      </c>
      <c r="D21" s="231">
        <v>5000</v>
      </c>
      <c r="E21" s="247">
        <v>5000</v>
      </c>
    </row>
    <row r="22" spans="1:5" ht="16.5" thickBot="1" x14ac:dyDescent="0.3">
      <c r="A22" s="18" t="s">
        <v>290</v>
      </c>
      <c r="B22" s="110">
        <f>'2 Pasiva'!B5-B18-B14-B21-B6</f>
        <v>26488.603499999997</v>
      </c>
      <c r="C22" s="36">
        <f>B22+'4 Cash flow'!B19</f>
        <v>39156.623</v>
      </c>
      <c r="D22" s="36">
        <f>C22+'4 Cash flow'!C19</f>
        <v>48151.949500000002</v>
      </c>
      <c r="E22" s="37">
        <f>D22+'4 Cash flow'!D19</f>
        <v>64318.381500000003</v>
      </c>
    </row>
  </sheetData>
  <phoneticPr fontId="0" type="noConversion"/>
  <hyperlinks>
    <hyperlink ref="E1" location="Obsah!A1" display="Skok na obsah" xr:uid="{00000000-0004-0000-0100-000000000000}"/>
  </hyperlinks>
  <printOptions horizontalCentered="1" gridLinesSet="0"/>
  <pageMargins left="0.59055118110236227" right="0.59055118110236227" top="1.1811023622047245" bottom="0.98425196850393704" header="0.51181102362204722" footer="0.51181102362204722"/>
  <pageSetup paperSize="9" orientation="portrait" r:id="rId1"/>
  <headerFooter alignWithMargins="0">
    <oddHeader>&amp;L&amp;"Arial CE,Obyčejné"&amp;10Mařík, M. a kol.: Metody oceňování podniku pro pokročilé
Ekopress 2023&amp;R&amp;"Arial CE,Obyčejné"&amp;10Komplexní příklad EVA</oddHeader>
    <oddFooter>&amp;C&amp;A&amp;R&amp;"Arial CE,Kurzíva"&amp;10© M. Mařík, P. Maříková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8"/>
  <sheetViews>
    <sheetView showGridLines="0" zoomScaleNormal="100" workbookViewId="0"/>
  </sheetViews>
  <sheetFormatPr defaultRowHeight="15.75" x14ac:dyDescent="0.25"/>
  <cols>
    <col min="1" max="1" width="35.625" customWidth="1"/>
  </cols>
  <sheetData>
    <row r="1" spans="1:5" x14ac:dyDescent="0.25">
      <c r="E1" s="221" t="s">
        <v>203</v>
      </c>
    </row>
    <row r="2" spans="1:5" x14ac:dyDescent="0.25">
      <c r="A2" s="256" t="s">
        <v>130</v>
      </c>
      <c r="B2" s="7"/>
      <c r="C2" s="7"/>
      <c r="D2" s="7"/>
    </row>
    <row r="3" spans="1:5" ht="16.5" thickBot="1" x14ac:dyDescent="0.3">
      <c r="A3" s="7"/>
      <c r="B3" s="7"/>
      <c r="C3" s="7"/>
      <c r="D3" s="7"/>
    </row>
    <row r="4" spans="1:5" ht="16.5" thickBot="1" x14ac:dyDescent="0.3">
      <c r="A4" s="387" t="s">
        <v>13</v>
      </c>
      <c r="B4" s="388">
        <f>'1 Aktiva'!B4</f>
        <v>2022</v>
      </c>
      <c r="C4" s="389">
        <f>'1 Aktiva'!C4</f>
        <v>2023</v>
      </c>
      <c r="D4" s="390">
        <f>'1 Aktiva'!D4</f>
        <v>2024</v>
      </c>
      <c r="E4" s="391">
        <f>'1 Aktiva'!E4</f>
        <v>2025</v>
      </c>
    </row>
    <row r="5" spans="1:5" ht="16.5" thickBot="1" x14ac:dyDescent="0.3">
      <c r="A5" s="17" t="s">
        <v>14</v>
      </c>
      <c r="B5" s="108">
        <f>(B12+B6)</f>
        <v>130634.6035</v>
      </c>
      <c r="C5" s="32">
        <f>(C12+C6)</f>
        <v>156392.62299999999</v>
      </c>
      <c r="D5" s="32">
        <f>(D12+D6)</f>
        <v>175289.94949999999</v>
      </c>
      <c r="E5" s="33">
        <f>(E12+E6)</f>
        <v>195644.38150000002</v>
      </c>
    </row>
    <row r="6" spans="1:5" x14ac:dyDescent="0.25">
      <c r="A6" s="15" t="s">
        <v>15</v>
      </c>
      <c r="B6" s="102">
        <f>SUM(B7:B11)</f>
        <v>64329.603499999997</v>
      </c>
      <c r="C6" s="20">
        <f>SUM(C7:C11)</f>
        <v>77899.622999999992</v>
      </c>
      <c r="D6" s="20">
        <f>SUM(D7:D11)</f>
        <v>90865.949499999988</v>
      </c>
      <c r="E6" s="21">
        <f>SUM(E7:E11)</f>
        <v>108600.3815</v>
      </c>
    </row>
    <row r="7" spans="1:5" x14ac:dyDescent="0.25">
      <c r="A7" s="10" t="s">
        <v>16</v>
      </c>
      <c r="B7" s="109">
        <v>20000</v>
      </c>
      <c r="C7" s="34">
        <v>20000</v>
      </c>
      <c r="D7" s="34">
        <v>20000</v>
      </c>
      <c r="E7" s="35">
        <v>20000</v>
      </c>
    </row>
    <row r="8" spans="1:5" x14ac:dyDescent="0.25">
      <c r="A8" s="10" t="s">
        <v>294</v>
      </c>
      <c r="B8" s="109">
        <v>6000</v>
      </c>
      <c r="C8" s="34">
        <v>6000</v>
      </c>
      <c r="D8" s="34">
        <v>6000</v>
      </c>
      <c r="E8" s="35">
        <v>6000</v>
      </c>
    </row>
    <row r="9" spans="1:5" x14ac:dyDescent="0.25">
      <c r="A9" s="10" t="s">
        <v>293</v>
      </c>
      <c r="B9" s="109">
        <v>4000</v>
      </c>
      <c r="C9" s="34">
        <v>4000</v>
      </c>
      <c r="D9" s="34">
        <v>4000</v>
      </c>
      <c r="E9" s="35">
        <v>4000</v>
      </c>
    </row>
    <row r="10" spans="1:5" x14ac:dyDescent="0.25">
      <c r="A10" s="10" t="s">
        <v>17</v>
      </c>
      <c r="B10" s="109">
        <v>18071</v>
      </c>
      <c r="C10" s="34">
        <f>B10+'3 Výsledovka'!B18-(C9-B9)</f>
        <v>29329.603499999997</v>
      </c>
      <c r="D10" s="34">
        <f>C10+'3 Výsledovka'!C18</f>
        <v>42899.623</v>
      </c>
      <c r="E10" s="35">
        <f>D10+'3 Výsledovka'!D18</f>
        <v>55865.949500000002</v>
      </c>
    </row>
    <row r="11" spans="1:5" ht="16.5" thickBot="1" x14ac:dyDescent="0.3">
      <c r="A11" s="8" t="s">
        <v>292</v>
      </c>
      <c r="B11" s="103">
        <f>'3 Výsledovka'!B16</f>
        <v>16258.603499999999</v>
      </c>
      <c r="C11" s="22">
        <f>'3 Výsledovka'!C16</f>
        <v>18570.019500000002</v>
      </c>
      <c r="D11" s="22">
        <f>'3 Výsledovka'!D16</f>
        <v>17966.326500000003</v>
      </c>
      <c r="E11" s="23">
        <f>'3 Výsledovka'!E16</f>
        <v>22734.432000000001</v>
      </c>
    </row>
    <row r="12" spans="1:5" x14ac:dyDescent="0.25">
      <c r="A12" s="15" t="s">
        <v>295</v>
      </c>
      <c r="B12" s="106">
        <f>B13+B16</f>
        <v>66305</v>
      </c>
      <c r="C12" s="28">
        <f t="shared" ref="C12:E12" si="0">C13+C16</f>
        <v>78493</v>
      </c>
      <c r="D12" s="28">
        <f t="shared" si="0"/>
        <v>84424</v>
      </c>
      <c r="E12" s="29">
        <f t="shared" si="0"/>
        <v>87044</v>
      </c>
    </row>
    <row r="13" spans="1:5" x14ac:dyDescent="0.25">
      <c r="A13" s="8" t="s">
        <v>296</v>
      </c>
      <c r="B13" s="415">
        <f>B14+B15</f>
        <v>36773</v>
      </c>
      <c r="C13" s="416">
        <f t="shared" ref="C13:E13" si="1">C14+C15</f>
        <v>41307</v>
      </c>
      <c r="D13" s="416">
        <f t="shared" si="1"/>
        <v>43796</v>
      </c>
      <c r="E13" s="417">
        <f t="shared" si="1"/>
        <v>43796</v>
      </c>
    </row>
    <row r="14" spans="1:5" x14ac:dyDescent="0.25">
      <c r="A14" s="413" t="s">
        <v>297</v>
      </c>
      <c r="B14" s="422">
        <v>8000</v>
      </c>
      <c r="C14" s="423">
        <f>B14</f>
        <v>8000</v>
      </c>
      <c r="D14" s="423">
        <f>C14</f>
        <v>8000</v>
      </c>
      <c r="E14" s="424">
        <f>D14</f>
        <v>8000</v>
      </c>
    </row>
    <row r="15" spans="1:5" x14ac:dyDescent="0.25">
      <c r="A15" s="414" t="s">
        <v>298</v>
      </c>
      <c r="B15" s="418">
        <v>28773</v>
      </c>
      <c r="C15" s="419">
        <v>33307</v>
      </c>
      <c r="D15" s="419">
        <v>35796</v>
      </c>
      <c r="E15" s="420">
        <v>35796</v>
      </c>
    </row>
    <row r="16" spans="1:5" x14ac:dyDescent="0.25">
      <c r="A16" s="8" t="s">
        <v>299</v>
      </c>
      <c r="B16" s="103">
        <f>B17+B18</f>
        <v>29532</v>
      </c>
      <c r="C16" s="22">
        <f>C17+C18</f>
        <v>37186</v>
      </c>
      <c r="D16" s="22">
        <f>D17+D18</f>
        <v>40628</v>
      </c>
      <c r="E16" s="23">
        <f>E17+E18</f>
        <v>43248</v>
      </c>
    </row>
    <row r="17" spans="1:5" x14ac:dyDescent="0.25">
      <c r="A17" s="9" t="s">
        <v>300</v>
      </c>
      <c r="B17" s="104">
        <v>24821</v>
      </c>
      <c r="C17" s="24">
        <v>30591</v>
      </c>
      <c r="D17" s="24">
        <v>32884</v>
      </c>
      <c r="E17" s="25">
        <v>34987</v>
      </c>
    </row>
    <row r="18" spans="1:5" ht="16.5" thickBot="1" x14ac:dyDescent="0.3">
      <c r="A18" s="16" t="s">
        <v>301</v>
      </c>
      <c r="B18" s="107">
        <v>4711</v>
      </c>
      <c r="C18" s="30">
        <v>6595</v>
      </c>
      <c r="D18" s="30">
        <v>7744</v>
      </c>
      <c r="E18" s="31">
        <v>8261</v>
      </c>
    </row>
  </sheetData>
  <phoneticPr fontId="0" type="noConversion"/>
  <hyperlinks>
    <hyperlink ref="E1" location="Obsah!A1" display="Skok na obsah" xr:uid="{00000000-0004-0000-0200-000000000000}"/>
  </hyperlinks>
  <printOptions horizontalCentered="1" gridLinesSet="0"/>
  <pageMargins left="0.59055118110236227" right="0.59055118110236227" top="1.1811023622047245" bottom="0.98425196850393704" header="0.51181102362204722" footer="0.51181102362204722"/>
  <pageSetup paperSize="9" orientation="portrait" r:id="rId1"/>
  <headerFooter alignWithMargins="0">
    <oddHeader>&amp;L&amp;"Arial CE,Obyčejné"&amp;10Mařík, M. a kol.: Metody oceňování podniku pro pokročilé
Ekopress 2023&amp;R&amp;"Arial CE,Obyčejné"&amp;10Komplexní příklad EVA</oddHeader>
    <oddFooter>&amp;C&amp;A&amp;R&amp;"Arial CE,Kurzíva"&amp;10© M. Mařík, P. Maříková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8"/>
  <sheetViews>
    <sheetView showGridLines="0" workbookViewId="0"/>
  </sheetViews>
  <sheetFormatPr defaultRowHeight="15.75" x14ac:dyDescent="0.25"/>
  <cols>
    <col min="1" max="1" width="35.625" customWidth="1"/>
  </cols>
  <sheetData>
    <row r="1" spans="1:7" x14ac:dyDescent="0.25">
      <c r="E1" s="221" t="s">
        <v>203</v>
      </c>
    </row>
    <row r="2" spans="1:7" ht="18" customHeight="1" x14ac:dyDescent="0.25">
      <c r="A2" s="257" t="s">
        <v>131</v>
      </c>
      <c r="B2" s="7"/>
      <c r="C2" s="7"/>
      <c r="D2" s="7"/>
    </row>
    <row r="3" spans="1:7" ht="14.25" customHeight="1" thickBot="1" x14ac:dyDescent="0.3">
      <c r="A3" s="162"/>
      <c r="B3" s="7"/>
      <c r="C3" s="7"/>
      <c r="D3" s="7"/>
    </row>
    <row r="4" spans="1:7" ht="16.5" thickBot="1" x14ac:dyDescent="0.3">
      <c r="A4" s="387" t="s">
        <v>19</v>
      </c>
      <c r="B4" s="388">
        <f>'1 Aktiva'!B4</f>
        <v>2022</v>
      </c>
      <c r="C4" s="389">
        <f>'1 Aktiva'!C4</f>
        <v>2023</v>
      </c>
      <c r="D4" s="390">
        <f>'1 Aktiva'!D4</f>
        <v>2024</v>
      </c>
      <c r="E4" s="391">
        <f>'1 Aktiva'!E4</f>
        <v>2025</v>
      </c>
    </row>
    <row r="5" spans="1:7" ht="16.5" thickBot="1" x14ac:dyDescent="0.3">
      <c r="A5" s="158" t="s">
        <v>18</v>
      </c>
      <c r="B5" s="159">
        <v>0.19</v>
      </c>
      <c r="C5" s="160">
        <v>0.19</v>
      </c>
      <c r="D5" s="160">
        <v>0.19</v>
      </c>
      <c r="E5" s="161">
        <f>D5</f>
        <v>0.19</v>
      </c>
    </row>
    <row r="6" spans="1:7" x14ac:dyDescent="0.25">
      <c r="A6" s="8" t="s">
        <v>303</v>
      </c>
      <c r="B6" s="103">
        <v>165048</v>
      </c>
      <c r="C6" s="22">
        <v>214112.6</v>
      </c>
      <c r="D6" s="22">
        <v>236244</v>
      </c>
      <c r="E6" s="23">
        <v>251643</v>
      </c>
      <c r="G6" s="122"/>
    </row>
    <row r="7" spans="1:7" x14ac:dyDescent="0.25">
      <c r="A7" s="9" t="s">
        <v>111</v>
      </c>
      <c r="B7" s="104">
        <v>105004</v>
      </c>
      <c r="C7" s="24">
        <v>143404</v>
      </c>
      <c r="D7" s="24">
        <v>155483</v>
      </c>
      <c r="E7" s="25">
        <v>161142</v>
      </c>
    </row>
    <row r="8" spans="1:7" x14ac:dyDescent="0.25">
      <c r="A8" s="9" t="s">
        <v>112</v>
      </c>
      <c r="B8" s="104">
        <v>34413</v>
      </c>
      <c r="C8" s="24">
        <v>42224</v>
      </c>
      <c r="D8" s="24">
        <v>52295</v>
      </c>
      <c r="E8" s="25">
        <v>55524</v>
      </c>
    </row>
    <row r="9" spans="1:7" x14ac:dyDescent="0.25">
      <c r="A9" s="9" t="s">
        <v>304</v>
      </c>
      <c r="B9" s="104">
        <v>5000</v>
      </c>
      <c r="C9" s="24">
        <v>4500</v>
      </c>
      <c r="D9" s="24">
        <v>5000</v>
      </c>
      <c r="E9" s="25">
        <v>5500</v>
      </c>
    </row>
    <row r="10" spans="1:7" x14ac:dyDescent="0.25">
      <c r="A10" s="10" t="s">
        <v>113</v>
      </c>
      <c r="B10" s="165">
        <f>B6-SUM(B7:B9)</f>
        <v>20631</v>
      </c>
      <c r="C10" s="34">
        <f>C6-SUM(C7:C9)</f>
        <v>23984.600000000006</v>
      </c>
      <c r="D10" s="34">
        <f>D6-SUM(D7:D9)</f>
        <v>23466</v>
      </c>
      <c r="E10" s="166">
        <f>E6-SUM(E7:E9)</f>
        <v>29477</v>
      </c>
    </row>
    <row r="11" spans="1:7" x14ac:dyDescent="0.25">
      <c r="A11" s="9" t="s">
        <v>21</v>
      </c>
      <c r="B11" s="104">
        <f>Obsah!$D$48*'1 Aktiva'!B21+Obsah!$D$47*'1 Aktiva'!B12</f>
        <v>700</v>
      </c>
      <c r="C11" s="24">
        <f>Obsah!$D$48*'1 Aktiva'!C21+Obsah!$D$47*'1 Aktiva'!C12</f>
        <v>700</v>
      </c>
      <c r="D11" s="24">
        <f>Obsah!$D$48*'1 Aktiva'!D21+Obsah!$D$47*'1 Aktiva'!D12</f>
        <v>700</v>
      </c>
      <c r="E11" s="25">
        <f>Obsah!$D$48*'1 Aktiva'!E21+Obsah!$D$47*'1 Aktiva'!E12</f>
        <v>700</v>
      </c>
    </row>
    <row r="12" spans="1:7" x14ac:dyDescent="0.25">
      <c r="A12" s="9" t="s">
        <v>22</v>
      </c>
      <c r="B12" s="104">
        <f>Obsah!$D$49*'2 Pasiva'!B14+Obsah!$D$50*'2 Pasiva'!B15-500</f>
        <v>1258.6500000000001</v>
      </c>
      <c r="C12" s="24">
        <f>Obsah!$D$49*'2 Pasiva'!B14+Obsah!$D$50*'2 Pasiva'!B15</f>
        <v>1758.65</v>
      </c>
      <c r="D12" s="24">
        <f>Obsah!$D$49*'2 Pasiva'!C14+Obsah!$D$50*'2 Pasiva'!C15</f>
        <v>1985.3500000000001</v>
      </c>
      <c r="E12" s="25">
        <f>Obsah!$D$49*'2 Pasiva'!D14+Obsah!$D$50*'2 Pasiva'!D15</f>
        <v>2109.8000000000002</v>
      </c>
    </row>
    <row r="13" spans="1:7" x14ac:dyDescent="0.25">
      <c r="A13" s="10" t="s">
        <v>114</v>
      </c>
      <c r="B13" s="109">
        <f>B11-B12</f>
        <v>-558.65000000000009</v>
      </c>
      <c r="C13" s="34">
        <f>C11-C12</f>
        <v>-1058.6500000000001</v>
      </c>
      <c r="D13" s="34">
        <f>D11-D12</f>
        <v>-1285.3500000000001</v>
      </c>
      <c r="E13" s="35">
        <f>E11-E12</f>
        <v>-1409.8000000000002</v>
      </c>
    </row>
    <row r="14" spans="1:7" x14ac:dyDescent="0.25">
      <c r="A14" s="11" t="s">
        <v>302</v>
      </c>
      <c r="B14" s="111">
        <f>B10+B13</f>
        <v>20072.349999999999</v>
      </c>
      <c r="C14" s="38">
        <f>C10+C13</f>
        <v>22925.950000000004</v>
      </c>
      <c r="D14" s="38">
        <f>D10+D13</f>
        <v>22180.65</v>
      </c>
      <c r="E14" s="39">
        <f>E10+E13</f>
        <v>28067.200000000001</v>
      </c>
    </row>
    <row r="15" spans="1:7" x14ac:dyDescent="0.25">
      <c r="A15" s="9" t="s">
        <v>23</v>
      </c>
      <c r="B15" s="104">
        <f>B14*B5</f>
        <v>3813.7464999999997</v>
      </c>
      <c r="C15" s="24">
        <f>C14*C5</f>
        <v>4355.9305000000013</v>
      </c>
      <c r="D15" s="24">
        <f>D14*D5</f>
        <v>4214.3235000000004</v>
      </c>
      <c r="E15" s="25">
        <f>E14*E5</f>
        <v>5332.768</v>
      </c>
    </row>
    <row r="16" spans="1:7" x14ac:dyDescent="0.25">
      <c r="A16" s="11" t="s">
        <v>95</v>
      </c>
      <c r="B16" s="111">
        <f>B14-B15</f>
        <v>16258.603499999999</v>
      </c>
      <c r="C16" s="38">
        <f>C14-C15</f>
        <v>18570.019500000002</v>
      </c>
      <c r="D16" s="38">
        <f>D14-D15</f>
        <v>17966.326500000003</v>
      </c>
      <c r="E16" s="39">
        <f>E14-E15</f>
        <v>22734.432000000001</v>
      </c>
    </row>
    <row r="17" spans="1:5" x14ac:dyDescent="0.25">
      <c r="A17" s="9" t="s">
        <v>24</v>
      </c>
      <c r="B17" s="104">
        <v>5000</v>
      </c>
      <c r="C17" s="24">
        <v>5000</v>
      </c>
      <c r="D17" s="24">
        <v>5000</v>
      </c>
      <c r="E17" s="25">
        <v>5000</v>
      </c>
    </row>
    <row r="18" spans="1:5" ht="16.5" thickBot="1" x14ac:dyDescent="0.3">
      <c r="A18" s="12" t="s">
        <v>25</v>
      </c>
      <c r="B18" s="112">
        <f>B16-B17</f>
        <v>11258.603499999999</v>
      </c>
      <c r="C18" s="40">
        <f>C16-C17</f>
        <v>13570.019500000002</v>
      </c>
      <c r="D18" s="40">
        <f>D16-D17</f>
        <v>12966.326500000003</v>
      </c>
      <c r="E18" s="41">
        <f>E16-E17</f>
        <v>17734.432000000001</v>
      </c>
    </row>
  </sheetData>
  <phoneticPr fontId="0" type="noConversion"/>
  <hyperlinks>
    <hyperlink ref="E1" location="Obsah!A1" display="Skok na obsah" xr:uid="{00000000-0004-0000-0300-000000000000}"/>
  </hyperlinks>
  <printOptions horizontalCentered="1" gridLinesSet="0"/>
  <pageMargins left="0.59055118110236227" right="0.59055118110236227" top="1.1811023622047245" bottom="0.98425196850393704" header="0.51181102362204722" footer="0.51181102362204722"/>
  <pageSetup paperSize="9" orientation="portrait" r:id="rId1"/>
  <headerFooter alignWithMargins="0">
    <oddHeader>&amp;L&amp;"Arial CE,Obyčejné"&amp;10Mařík, M. a kol.: Metody oceňování podniku pro pokročilé
Ekopress 2023&amp;R&amp;"Arial CE,Obyčejné"&amp;10Komplexní příklad EVA</oddHeader>
    <oddFooter>&amp;C&amp;A&amp;R&amp;"Arial CE,Kurzíva"&amp;10© M. Mařík, P. Maříková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0"/>
  <sheetViews>
    <sheetView showGridLines="0" workbookViewId="0"/>
  </sheetViews>
  <sheetFormatPr defaultRowHeight="15.75" x14ac:dyDescent="0.25"/>
  <cols>
    <col min="1" max="1" width="35.625" customWidth="1"/>
  </cols>
  <sheetData>
    <row r="1" spans="1:5" x14ac:dyDescent="0.25">
      <c r="E1" s="221" t="s">
        <v>203</v>
      </c>
    </row>
    <row r="2" spans="1:5" ht="18.75" customHeight="1" x14ac:dyDescent="0.25">
      <c r="A2" s="257" t="s">
        <v>132</v>
      </c>
      <c r="B2" s="7"/>
      <c r="C2" s="7"/>
    </row>
    <row r="3" spans="1:5" ht="13.5" customHeight="1" thickBot="1" x14ac:dyDescent="0.3">
      <c r="A3" s="162"/>
      <c r="B3" s="7"/>
      <c r="C3" s="7"/>
    </row>
    <row r="4" spans="1:5" ht="16.5" thickBot="1" x14ac:dyDescent="0.3">
      <c r="A4" s="387" t="s">
        <v>19</v>
      </c>
      <c r="B4" s="389">
        <f>'1 Aktiva'!C4</f>
        <v>2023</v>
      </c>
      <c r="C4" s="390">
        <f>'1 Aktiva'!D4</f>
        <v>2024</v>
      </c>
      <c r="D4" s="391">
        <f>'1 Aktiva'!E4</f>
        <v>2025</v>
      </c>
    </row>
    <row r="5" spans="1:5" x14ac:dyDescent="0.25">
      <c r="A5" s="172" t="s">
        <v>125</v>
      </c>
      <c r="B5" s="173">
        <f>'1 Aktiva'!B22</f>
        <v>26488.603499999997</v>
      </c>
      <c r="C5" s="173">
        <f>B20</f>
        <v>39156.623</v>
      </c>
      <c r="D5" s="174">
        <f>C20</f>
        <v>48151.949500000002</v>
      </c>
    </row>
    <row r="6" spans="1:5" x14ac:dyDescent="0.25">
      <c r="A6" s="8" t="s">
        <v>115</v>
      </c>
      <c r="B6" s="22">
        <f>'3 Výsledovka'!C16</f>
        <v>18570.019500000002</v>
      </c>
      <c r="C6" s="22">
        <f>'3 Výsledovka'!D16</f>
        <v>17966.326500000003</v>
      </c>
      <c r="D6" s="23">
        <f>'3 Výsledovka'!E16</f>
        <v>22734.432000000001</v>
      </c>
    </row>
    <row r="7" spans="1:5" x14ac:dyDescent="0.25">
      <c r="A7" s="9" t="s">
        <v>20</v>
      </c>
      <c r="B7" s="24">
        <f>'3 Výsledovka'!C9</f>
        <v>4500</v>
      </c>
      <c r="C7" s="24">
        <f>'3 Výsledovka'!D9</f>
        <v>5000</v>
      </c>
      <c r="D7" s="25">
        <f>'3 Výsledovka'!E9</f>
        <v>5500</v>
      </c>
    </row>
    <row r="8" spans="1:5" x14ac:dyDescent="0.25">
      <c r="A8" s="9" t="s">
        <v>116</v>
      </c>
      <c r="B8" s="24">
        <f>-('1 Aktiva'!C14-'1 Aktiva'!B14)</f>
        <v>-7341</v>
      </c>
      <c r="C8" s="24">
        <f>-('1 Aktiva'!D14-'1 Aktiva'!C14)</f>
        <v>-3795</v>
      </c>
      <c r="D8" s="25">
        <f>-('1 Aktiva'!E14-'1 Aktiva'!D14)</f>
        <v>-2228</v>
      </c>
    </row>
    <row r="9" spans="1:5" x14ac:dyDescent="0.25">
      <c r="A9" s="9" t="s">
        <v>117</v>
      </c>
      <c r="B9" s="24">
        <f>-('1 Aktiva'!C18-'1 Aktiva'!B18)</f>
        <v>-5100</v>
      </c>
      <c r="C9" s="24">
        <f>-('1 Aktiva'!D18-'1 Aktiva'!C18)</f>
        <v>-5107</v>
      </c>
      <c r="D9" s="25">
        <f>-('1 Aktiva'!E18-'1 Aktiva'!D18)</f>
        <v>-1960</v>
      </c>
    </row>
    <row r="10" spans="1:5" x14ac:dyDescent="0.25">
      <c r="A10" s="9" t="s">
        <v>128</v>
      </c>
      <c r="B10" s="24">
        <f>-('1 Aktiva'!C21-'1 Aktiva'!B21)</f>
        <v>0</v>
      </c>
      <c r="C10" s="24">
        <f>-('1 Aktiva'!D21-'1 Aktiva'!C21)</f>
        <v>0</v>
      </c>
      <c r="D10" s="25">
        <f>-('1 Aktiva'!E21-'1 Aktiva'!D21)</f>
        <v>0</v>
      </c>
    </row>
    <row r="11" spans="1:5" x14ac:dyDescent="0.25">
      <c r="A11" s="9" t="s">
        <v>118</v>
      </c>
      <c r="B11" s="24">
        <f>'2 Pasiva'!C16-'2 Pasiva'!B16</f>
        <v>7654</v>
      </c>
      <c r="C11" s="24">
        <f>'2 Pasiva'!D16-'2 Pasiva'!C16</f>
        <v>3442</v>
      </c>
      <c r="D11" s="25">
        <f>'2 Pasiva'!E16-'2 Pasiva'!D16</f>
        <v>2620</v>
      </c>
    </row>
    <row r="12" spans="1:5" s="4" customFormat="1" x14ac:dyDescent="0.25">
      <c r="A12" s="168" t="s">
        <v>119</v>
      </c>
      <c r="B12" s="169">
        <f>SUM(B6:B11)</f>
        <v>18283.019500000002</v>
      </c>
      <c r="C12" s="169">
        <f>SUM(C6:C11)</f>
        <v>17506.326500000003</v>
      </c>
      <c r="D12" s="170">
        <f>SUM(D6:D11)</f>
        <v>26666.432000000001</v>
      </c>
    </row>
    <row r="13" spans="1:5" x14ac:dyDescent="0.25">
      <c r="A13" s="9" t="s">
        <v>120</v>
      </c>
      <c r="B13" s="24">
        <f>-('1 Aktiva'!C6-'1 Aktiva'!B6+'3 Výsledovka'!C9)</f>
        <v>-5149</v>
      </c>
      <c r="C13" s="24">
        <f>-('1 Aktiva'!D6-'1 Aktiva'!C6+'3 Výsledovka'!D9)</f>
        <v>-6000</v>
      </c>
      <c r="D13" s="25">
        <f>-('1 Aktiva'!E6-'1 Aktiva'!D6+'3 Výsledovka'!E9)</f>
        <v>-5500</v>
      </c>
    </row>
    <row r="14" spans="1:5" x14ac:dyDescent="0.25">
      <c r="A14" s="9" t="s">
        <v>129</v>
      </c>
      <c r="B14" s="24">
        <v>0</v>
      </c>
      <c r="C14" s="24">
        <v>0</v>
      </c>
      <c r="D14" s="25">
        <v>0</v>
      </c>
    </row>
    <row r="15" spans="1:5" s="4" customFormat="1" x14ac:dyDescent="0.25">
      <c r="A15" s="168" t="s">
        <v>121</v>
      </c>
      <c r="B15" s="169">
        <f>B13+B14</f>
        <v>-5149</v>
      </c>
      <c r="C15" s="169">
        <f>C13+C14</f>
        <v>-6000</v>
      </c>
      <c r="D15" s="171">
        <f>D13+D14</f>
        <v>-5500</v>
      </c>
    </row>
    <row r="16" spans="1:5" x14ac:dyDescent="0.25">
      <c r="A16" s="9" t="s">
        <v>122</v>
      </c>
      <c r="B16" s="24">
        <f>-'3 Výsledovka'!B17</f>
        <v>-5000</v>
      </c>
      <c r="C16" s="24">
        <f>-'3 Výsledovka'!C17</f>
        <v>-5000</v>
      </c>
      <c r="D16" s="25">
        <f>-'3 Výsledovka'!D17</f>
        <v>-5000</v>
      </c>
    </row>
    <row r="17" spans="1:4" x14ac:dyDescent="0.25">
      <c r="A17" s="9" t="s">
        <v>123</v>
      </c>
      <c r="B17" s="24">
        <f>'2 Pasiva'!C14-'2 Pasiva'!B14+'2 Pasiva'!C15-'2 Pasiva'!B15</f>
        <v>4534</v>
      </c>
      <c r="C17" s="24">
        <f>'2 Pasiva'!D14-'2 Pasiva'!C14+'2 Pasiva'!D15-'2 Pasiva'!C15</f>
        <v>2489</v>
      </c>
      <c r="D17" s="25">
        <f>'2 Pasiva'!E14-'2 Pasiva'!D14+'2 Pasiva'!E15-'2 Pasiva'!D15</f>
        <v>0</v>
      </c>
    </row>
    <row r="18" spans="1:4" x14ac:dyDescent="0.25">
      <c r="A18" s="11" t="s">
        <v>124</v>
      </c>
      <c r="B18" s="38">
        <f>B16+B17</f>
        <v>-466</v>
      </c>
      <c r="C18" s="38">
        <f>C16+C17</f>
        <v>-2511</v>
      </c>
      <c r="D18" s="39">
        <f>D16+D17</f>
        <v>-5000</v>
      </c>
    </row>
    <row r="19" spans="1:4" ht="16.5" thickBot="1" x14ac:dyDescent="0.3">
      <c r="A19" s="11" t="s">
        <v>127</v>
      </c>
      <c r="B19" s="38">
        <f>B12+B15+B18</f>
        <v>12668.019500000002</v>
      </c>
      <c r="C19" s="38">
        <f>C12+C15+C18</f>
        <v>8995.3265000000029</v>
      </c>
      <c r="D19" s="39">
        <f>D12+D15+D18</f>
        <v>16166.432000000001</v>
      </c>
    </row>
    <row r="20" spans="1:4" ht="16.5" thickBot="1" x14ac:dyDescent="0.3">
      <c r="A20" s="178" t="s">
        <v>126</v>
      </c>
      <c r="B20" s="179">
        <f>B5+B19</f>
        <v>39156.623</v>
      </c>
      <c r="C20" s="179">
        <f>C5+C19</f>
        <v>48151.949500000002</v>
      </c>
      <c r="D20" s="180">
        <f>D5+D19</f>
        <v>64318.381500000003</v>
      </c>
    </row>
  </sheetData>
  <phoneticPr fontId="0" type="noConversion"/>
  <hyperlinks>
    <hyperlink ref="E1" location="Obsah!A1" display="Skok na obsah" xr:uid="{00000000-0004-0000-0400-000000000000}"/>
  </hyperlinks>
  <printOptions horizontalCentered="1" gridLinesSet="0"/>
  <pageMargins left="0.59055118110236227" right="0.59055118110236227" top="1.1811023622047245" bottom="0.98425196850393704" header="0.51181102362204722" footer="0.51181102362204722"/>
  <pageSetup paperSize="9" orientation="portrait" r:id="rId1"/>
  <headerFooter alignWithMargins="0">
    <oddHeader>&amp;L&amp;"Arial CE,Obyčejné"&amp;10Mařík, M. a kol.: Metody oceňování podniku pro pokročilé
Ekopress 2023&amp;R&amp;"Arial CE,Obyčejné"&amp;10Komplexní příklad EVA</oddHeader>
    <oddFooter>&amp;C&amp;A&amp;R&amp;"Arial CE,Kurzíva"&amp;10© M. Mařík, P. Maříková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9"/>
  <sheetViews>
    <sheetView showGridLines="0" workbookViewId="0"/>
  </sheetViews>
  <sheetFormatPr defaultRowHeight="15.75" x14ac:dyDescent="0.25"/>
  <cols>
    <col min="1" max="1" width="4.25" customWidth="1"/>
    <col min="2" max="2" width="4.875" customWidth="1"/>
    <col min="3" max="3" width="41" customWidth="1"/>
    <col min="4" max="4" width="6.5" customWidth="1"/>
    <col min="5" max="5" width="12.875" customWidth="1"/>
    <col min="6" max="6" width="4.125" customWidth="1"/>
    <col min="7" max="7" width="5.25" customWidth="1"/>
  </cols>
  <sheetData>
    <row r="1" spans="1:5" x14ac:dyDescent="0.25">
      <c r="E1" s="221" t="s">
        <v>203</v>
      </c>
    </row>
    <row r="2" spans="1:5" x14ac:dyDescent="0.25">
      <c r="A2" s="256" t="s">
        <v>26</v>
      </c>
    </row>
    <row r="4" spans="1:5" ht="20.25" x14ac:dyDescent="0.3">
      <c r="A4" s="63">
        <v>1</v>
      </c>
      <c r="B4" t="str">
        <f>"Společnost Delta na počátku roku "&amp;FIXED(rok,0,1)&amp;" pořídila park nákladních automobilů"</f>
        <v>Společnost Delta na počátku roku 2022 pořídila park nákladních automobilů</v>
      </c>
    </row>
    <row r="5" spans="1:5" ht="15" customHeight="1" x14ac:dyDescent="0.3">
      <c r="A5" s="63"/>
      <c r="B5" t="s">
        <v>142</v>
      </c>
    </row>
    <row r="6" spans="1:5" ht="15" customHeight="1" x14ac:dyDescent="0.3">
      <c r="A6" s="63"/>
    </row>
    <row r="7" spans="1:5" ht="20.25" x14ac:dyDescent="0.3">
      <c r="A7" s="63">
        <v>2</v>
      </c>
      <c r="B7" t="s">
        <v>143</v>
      </c>
    </row>
    <row r="8" spans="1:5" ht="15" customHeight="1" x14ac:dyDescent="0.3">
      <c r="A8" s="63"/>
      <c r="B8" t="s">
        <v>27</v>
      </c>
    </row>
    <row r="9" spans="1:5" ht="15" customHeight="1" x14ac:dyDescent="0.3">
      <c r="A9" s="63"/>
      <c r="B9" t="s">
        <v>28</v>
      </c>
    </row>
    <row r="10" spans="1:5" ht="15" customHeight="1" x14ac:dyDescent="0.3">
      <c r="A10" s="63"/>
      <c r="B10" s="67" t="s">
        <v>29</v>
      </c>
    </row>
    <row r="11" spans="1:5" ht="15" customHeight="1" x14ac:dyDescent="0.3">
      <c r="A11" s="63"/>
    </row>
    <row r="12" spans="1:5" ht="20.25" x14ac:dyDescent="0.3">
      <c r="A12" s="63">
        <v>3</v>
      </c>
      <c r="B12" t="s">
        <v>144</v>
      </c>
    </row>
    <row r="13" spans="1:5" ht="20.25" x14ac:dyDescent="0.3">
      <c r="A13" s="63"/>
      <c r="B13" s="64" t="s">
        <v>0</v>
      </c>
      <c r="C13" t="s">
        <v>99</v>
      </c>
    </row>
    <row r="14" spans="1:5" ht="20.25" x14ac:dyDescent="0.3">
      <c r="A14" s="63"/>
      <c r="B14" s="64" t="s">
        <v>0</v>
      </c>
      <c r="C14" t="s">
        <v>100</v>
      </c>
      <c r="D14" s="65"/>
    </row>
    <row r="15" spans="1:5" ht="15" customHeight="1" x14ac:dyDescent="0.3">
      <c r="A15" s="63"/>
      <c r="C15" t="s">
        <v>101</v>
      </c>
      <c r="D15" s="66">
        <v>0.3</v>
      </c>
    </row>
    <row r="16" spans="1:5" ht="15" customHeight="1" x14ac:dyDescent="0.3">
      <c r="A16" s="63"/>
      <c r="C16" s="154" t="s">
        <v>102</v>
      </c>
      <c r="D16" s="66"/>
    </row>
    <row r="17" spans="1:2" ht="15" customHeight="1" x14ac:dyDescent="0.3">
      <c r="A17" s="63"/>
    </row>
    <row r="18" spans="1:2" ht="20.25" x14ac:dyDescent="0.3">
      <c r="A18" s="63">
        <v>4</v>
      </c>
      <c r="B18" t="s">
        <v>103</v>
      </c>
    </row>
    <row r="19" spans="1:2" ht="15" customHeight="1" x14ac:dyDescent="0.3">
      <c r="A19" s="63"/>
      <c r="B19" t="str">
        <f>"udrží na úrovni z roku " &amp;FIXED(rok+3,0,1)&amp;"."</f>
        <v>udrží na úrovni z roku 2025.</v>
      </c>
    </row>
  </sheetData>
  <phoneticPr fontId="0" type="noConversion"/>
  <hyperlinks>
    <hyperlink ref="E1" location="Obsah!A1" display="Skok na obsah" xr:uid="{00000000-0004-0000-0500-000000000000}"/>
  </hyperlinks>
  <printOptions horizontalCentered="1" gridLinesSet="0"/>
  <pageMargins left="0.59055118110236227" right="0.59055118110236227" top="1.1811023622047245" bottom="0.98425196850393704" header="0.51181102362204722" footer="0.51181102362204722"/>
  <pageSetup paperSize="9" orientation="portrait" r:id="rId1"/>
  <headerFooter alignWithMargins="0">
    <oddHeader>&amp;L&amp;"Arial CE,Obyčejné"&amp;10Mařík, M. a kol.: Metody oceňování podniku pro pokročilé
Ekopress 2023&amp;R&amp;"Arial CE,Obyčejné"&amp;10Komplexní příklad EVA</oddHeader>
    <oddFooter>&amp;C&amp;A&amp;R&amp;"Arial CE,Kurzíva"&amp;10© M. Mařík, P. Maříková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7"/>
  <sheetViews>
    <sheetView showGridLines="0" workbookViewId="0"/>
  </sheetViews>
  <sheetFormatPr defaultRowHeight="15.75" x14ac:dyDescent="0.25"/>
  <cols>
    <col min="1" max="1" width="35.625" customWidth="1"/>
    <col min="6" max="6" width="2.625" customWidth="1"/>
  </cols>
  <sheetData>
    <row r="1" spans="1:6" x14ac:dyDescent="0.25">
      <c r="E1" s="221" t="s">
        <v>203</v>
      </c>
    </row>
    <row r="2" spans="1:6" x14ac:dyDescent="0.25">
      <c r="A2" s="256" t="s">
        <v>45</v>
      </c>
    </row>
    <row r="4" spans="1:6" x14ac:dyDescent="0.25">
      <c r="A4" t="s">
        <v>145</v>
      </c>
    </row>
    <row r="5" spans="1:6" x14ac:dyDescent="0.25">
      <c r="A5" t="s">
        <v>46</v>
      </c>
    </row>
    <row r="6" spans="1:6" x14ac:dyDescent="0.25">
      <c r="A6" t="s">
        <v>47</v>
      </c>
    </row>
    <row r="8" spans="1:6" x14ac:dyDescent="0.25">
      <c r="A8" s="5" t="s">
        <v>39</v>
      </c>
    </row>
    <row r="9" spans="1:6" ht="16.5" thickBot="1" x14ac:dyDescent="0.3"/>
    <row r="10" spans="1:6" ht="16.5" thickBot="1" x14ac:dyDescent="0.3">
      <c r="A10" s="392"/>
      <c r="B10" s="388">
        <f>'1 Aktiva'!B4</f>
        <v>2022</v>
      </c>
      <c r="C10" s="389">
        <f>B10+1</f>
        <v>2023</v>
      </c>
      <c r="D10" s="390">
        <f>C10+1</f>
        <v>2024</v>
      </c>
      <c r="E10" s="391">
        <f>D10+1</f>
        <v>2025</v>
      </c>
      <c r="F10" s="69"/>
    </row>
    <row r="11" spans="1:6" ht="16.5" thickBot="1" x14ac:dyDescent="0.3">
      <c r="A11" s="47" t="s">
        <v>48</v>
      </c>
      <c r="B11" s="264">
        <v>2490</v>
      </c>
      <c r="C11" s="258">
        <v>3600</v>
      </c>
      <c r="D11" s="49">
        <v>0</v>
      </c>
      <c r="E11" s="50">
        <v>0</v>
      </c>
      <c r="F11" s="69"/>
    </row>
    <row r="12" spans="1:6" x14ac:dyDescent="0.25">
      <c r="A12" s="51" t="str">
        <f>"Lineární odpis výdaje z roku "&amp;FIXED(B10,0,1)</f>
        <v>Lineární odpis výdaje z roku 2022</v>
      </c>
      <c r="B12" s="265">
        <f>$B$11/3</f>
        <v>830</v>
      </c>
      <c r="C12" s="259">
        <f>$B$11/3</f>
        <v>830</v>
      </c>
      <c r="D12" s="52">
        <f>$B$11/3</f>
        <v>830</v>
      </c>
      <c r="E12" s="53"/>
      <c r="F12" s="69"/>
    </row>
    <row r="13" spans="1:6" x14ac:dyDescent="0.25">
      <c r="A13" s="54" t="str">
        <f>"Lineární odpis výdaje z roku "&amp;FIXED(C10,0,1)</f>
        <v>Lineární odpis výdaje z roku 2023</v>
      </c>
      <c r="B13" s="266"/>
      <c r="C13" s="260">
        <f>$C$11/3</f>
        <v>1200</v>
      </c>
      <c r="D13" s="55">
        <f>$C$11/3</f>
        <v>1200</v>
      </c>
      <c r="E13" s="56">
        <f>$C$11/3</f>
        <v>1200</v>
      </c>
      <c r="F13" s="69"/>
    </row>
    <row r="14" spans="1:6" ht="16.5" thickBot="1" x14ac:dyDescent="0.3">
      <c r="A14" s="62" t="s">
        <v>49</v>
      </c>
      <c r="B14" s="267">
        <f>B12+B13</f>
        <v>830</v>
      </c>
      <c r="C14" s="261">
        <f>C12+C13</f>
        <v>2030</v>
      </c>
      <c r="D14" s="60">
        <f>D12+D13</f>
        <v>2030</v>
      </c>
      <c r="E14" s="61">
        <f>E12+E13</f>
        <v>1200</v>
      </c>
      <c r="F14" s="69"/>
    </row>
    <row r="15" spans="1:6" x14ac:dyDescent="0.25">
      <c r="A15" s="48" t="s">
        <v>50</v>
      </c>
      <c r="B15" s="268">
        <f>B11</f>
        <v>2490</v>
      </c>
      <c r="C15" s="262">
        <f>B15+C11</f>
        <v>6090</v>
      </c>
      <c r="D15" s="45">
        <f>C15+D11</f>
        <v>6090</v>
      </c>
      <c r="E15" s="46">
        <f>D15+E11</f>
        <v>6090</v>
      </c>
      <c r="F15" s="69"/>
    </row>
    <row r="16" spans="1:6" ht="16.5" thickBot="1" x14ac:dyDescent="0.3">
      <c r="A16" s="48" t="s">
        <v>51</v>
      </c>
      <c r="B16" s="268">
        <f>B14</f>
        <v>830</v>
      </c>
      <c r="C16" s="262">
        <f>B16+C14</f>
        <v>2860</v>
      </c>
      <c r="D16" s="45">
        <f>C16+D14</f>
        <v>4890</v>
      </c>
      <c r="E16" s="46">
        <f>D16+E14</f>
        <v>6090</v>
      </c>
      <c r="F16" s="69"/>
    </row>
    <row r="17" spans="1:6" ht="32.25" thickBot="1" x14ac:dyDescent="0.3">
      <c r="A17" s="57" t="s">
        <v>204</v>
      </c>
      <c r="B17" s="269">
        <f>B15-B16</f>
        <v>1660</v>
      </c>
      <c r="C17" s="263">
        <f>C15-C16</f>
        <v>3230</v>
      </c>
      <c r="D17" s="58">
        <f>D15-D16</f>
        <v>1200</v>
      </c>
      <c r="E17" s="59">
        <f>E15-E16</f>
        <v>0</v>
      </c>
      <c r="F17" s="69"/>
    </row>
  </sheetData>
  <phoneticPr fontId="0" type="noConversion"/>
  <hyperlinks>
    <hyperlink ref="E1" location="Obsah!A1" display="Skok na obsah" xr:uid="{00000000-0004-0000-0600-000000000000}"/>
  </hyperlinks>
  <printOptions horizontalCentered="1" gridLinesSet="0"/>
  <pageMargins left="0.59055118110236227" right="0.59055118110236227" top="1.1811023622047245" bottom="0.98425196850393704" header="0.51181102362204722" footer="0.51181102362204722"/>
  <pageSetup paperSize="9" orientation="portrait" r:id="rId1"/>
  <headerFooter alignWithMargins="0">
    <oddHeader>&amp;L&amp;"Arial CE,Obyčejné"&amp;10Mařík, M. a kol.: Metody oceňování podniku pro pokročilé
Ekopress 2023&amp;R&amp;"Arial CE,Obyčejné"&amp;10Komplexní příklad EVA</oddHeader>
    <oddFooter>&amp;C&amp;A&amp;R&amp;"Arial CE,Kurzíva"&amp;10© M. Mařík, P. Maříková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34"/>
  <sheetViews>
    <sheetView showGridLines="0" workbookViewId="0"/>
  </sheetViews>
  <sheetFormatPr defaultRowHeight="15.75" x14ac:dyDescent="0.25"/>
  <cols>
    <col min="1" max="1" width="40.625" customWidth="1"/>
    <col min="6" max="6" width="1.875" customWidth="1"/>
  </cols>
  <sheetData>
    <row r="1" spans="1:5" x14ac:dyDescent="0.25">
      <c r="E1" s="221" t="s">
        <v>203</v>
      </c>
    </row>
    <row r="2" spans="1:5" x14ac:dyDescent="0.25">
      <c r="A2" s="256" t="s">
        <v>30</v>
      </c>
    </row>
    <row r="4" spans="1:5" x14ac:dyDescent="0.25">
      <c r="A4" t="s">
        <v>31</v>
      </c>
    </row>
    <row r="5" spans="1:5" x14ac:dyDescent="0.25">
      <c r="A5" t="str">
        <f>"Automobily byly pronajaty k 1. 1. "&amp;FIXED(rok,0,1)&amp;", a to na 3 roky."</f>
        <v>Automobily byly pronajaty k 1. 1. 2022, a to na 3 roky.</v>
      </c>
    </row>
    <row r="7" spans="1:5" x14ac:dyDescent="0.25">
      <c r="A7" s="134" t="s">
        <v>32</v>
      </c>
      <c r="B7" s="135"/>
      <c r="C7" s="136">
        <v>24786</v>
      </c>
      <c r="D7" s="137" t="s">
        <v>33</v>
      </c>
    </row>
    <row r="8" spans="1:5" x14ac:dyDescent="0.25">
      <c r="A8" s="80" t="s">
        <v>34</v>
      </c>
      <c r="C8" s="42">
        <v>10000</v>
      </c>
      <c r="D8" s="133" t="s">
        <v>33</v>
      </c>
    </row>
    <row r="9" spans="1:5" x14ac:dyDescent="0.25">
      <c r="A9" s="80" t="s">
        <v>35</v>
      </c>
      <c r="C9" s="42">
        <v>5000</v>
      </c>
      <c r="D9" s="133" t="s">
        <v>33</v>
      </c>
    </row>
    <row r="10" spans="1:5" x14ac:dyDescent="0.25">
      <c r="A10" s="121" t="s">
        <v>36</v>
      </c>
      <c r="B10" s="73"/>
      <c r="C10" s="138"/>
      <c r="D10" s="139"/>
    </row>
    <row r="11" spans="1:5" x14ac:dyDescent="0.25">
      <c r="C11" s="42"/>
    </row>
    <row r="12" spans="1:5" x14ac:dyDescent="0.25">
      <c r="A12" s="4" t="s">
        <v>155</v>
      </c>
      <c r="C12" s="42"/>
    </row>
    <row r="13" spans="1:5" x14ac:dyDescent="0.25">
      <c r="C13" s="42"/>
    </row>
    <row r="14" spans="1:5" x14ac:dyDescent="0.25">
      <c r="A14" s="5" t="s">
        <v>37</v>
      </c>
    </row>
    <row r="15" spans="1:5" x14ac:dyDescent="0.25">
      <c r="A15" s="393"/>
      <c r="B15" s="395" t="s">
        <v>146</v>
      </c>
      <c r="C15" s="451" t="s">
        <v>148</v>
      </c>
      <c r="D15" s="452"/>
      <c r="E15" s="453"/>
    </row>
    <row r="16" spans="1:5" x14ac:dyDescent="0.25">
      <c r="A16" s="394"/>
      <c r="B16" s="396" t="s">
        <v>147</v>
      </c>
      <c r="C16" s="412">
        <f>'1 Aktiva'!B4</f>
        <v>2022</v>
      </c>
      <c r="D16" s="397">
        <f>C16+1</f>
        <v>2023</v>
      </c>
      <c r="E16" s="398">
        <f>D16+1</f>
        <v>2024</v>
      </c>
    </row>
    <row r="17" spans="1:6" x14ac:dyDescent="0.25">
      <c r="A17" s="43" t="s">
        <v>149</v>
      </c>
      <c r="B17" s="44">
        <f>-C7</f>
        <v>-24786</v>
      </c>
      <c r="C17" s="153">
        <f>C8</f>
        <v>10000</v>
      </c>
      <c r="D17" s="44">
        <f>C8</f>
        <v>10000</v>
      </c>
      <c r="E17" s="44">
        <f>C8+C9</f>
        <v>15000</v>
      </c>
    </row>
    <row r="18" spans="1:6" x14ac:dyDescent="0.25">
      <c r="C18" s="122"/>
      <c r="D18" s="122"/>
      <c r="E18" s="122"/>
    </row>
    <row r="19" spans="1:6" x14ac:dyDescent="0.25">
      <c r="A19" s="43" t="s">
        <v>38</v>
      </c>
      <c r="B19" s="123">
        <f>IRR(B17:E17)</f>
        <v>0.17999726675296968</v>
      </c>
      <c r="C19" s="124"/>
      <c r="D19" s="122"/>
    </row>
    <row r="20" spans="1:6" x14ac:dyDescent="0.25">
      <c r="B20" s="122"/>
      <c r="C20" s="122"/>
      <c r="D20" s="122"/>
    </row>
    <row r="21" spans="1:6" x14ac:dyDescent="0.25">
      <c r="A21" s="5" t="s">
        <v>39</v>
      </c>
    </row>
    <row r="22" spans="1:6" ht="16.5" thickBot="1" x14ac:dyDescent="0.3"/>
    <row r="23" spans="1:6" ht="16.5" thickBot="1" x14ac:dyDescent="0.3">
      <c r="A23" s="387"/>
      <c r="B23" s="388">
        <f>'1 Aktiva'!B4</f>
        <v>2022</v>
      </c>
      <c r="C23" s="389">
        <f>B23+1</f>
        <v>2023</v>
      </c>
      <c r="D23" s="390">
        <f>C23+1</f>
        <v>2024</v>
      </c>
      <c r="E23" s="391">
        <f>D23+1</f>
        <v>2025</v>
      </c>
      <c r="F23" s="69"/>
    </row>
    <row r="24" spans="1:6" ht="23.25" customHeight="1" thickBot="1" x14ac:dyDescent="0.3">
      <c r="A24" s="183" t="s">
        <v>150</v>
      </c>
      <c r="B24" s="181"/>
      <c r="C24" s="182"/>
      <c r="D24" s="182"/>
      <c r="E24" s="182"/>
    </row>
    <row r="25" spans="1:6" x14ac:dyDescent="0.25">
      <c r="A25" s="130" t="s">
        <v>40</v>
      </c>
      <c r="B25" s="272">
        <f>C7</f>
        <v>24786</v>
      </c>
      <c r="C25" s="270">
        <f>B28</f>
        <v>19247.412253739109</v>
      </c>
      <c r="D25" s="128">
        <f>C28</f>
        <v>12711.893851479765</v>
      </c>
      <c r="E25" s="129">
        <f>D28</f>
        <v>0</v>
      </c>
      <c r="F25" s="69"/>
    </row>
    <row r="26" spans="1:6" x14ac:dyDescent="0.25">
      <c r="A26" s="131" t="s">
        <v>41</v>
      </c>
      <c r="B26" s="273">
        <f>B25*$B$19</f>
        <v>4461.4122537391067</v>
      </c>
      <c r="C26" s="114">
        <f>C25*$B$19</f>
        <v>3464.4815977406556</v>
      </c>
      <c r="D26" s="44">
        <f>D25*$B$19</f>
        <v>2288.1061485202381</v>
      </c>
      <c r="E26" s="44">
        <f>E25*$B$19</f>
        <v>0</v>
      </c>
      <c r="F26" s="69"/>
    </row>
    <row r="27" spans="1:6" x14ac:dyDescent="0.25">
      <c r="A27" s="131" t="s">
        <v>42</v>
      </c>
      <c r="B27" s="273">
        <f>C17-B26</f>
        <v>5538.5877462608933</v>
      </c>
      <c r="C27" s="114">
        <f>D17-C26</f>
        <v>6535.5184022593439</v>
      </c>
      <c r="D27" s="44">
        <f>E17-D26</f>
        <v>12711.893851479763</v>
      </c>
      <c r="E27" s="125">
        <f>F17-E26</f>
        <v>0</v>
      </c>
      <c r="F27" s="69"/>
    </row>
    <row r="28" spans="1:6" ht="16.5" thickBot="1" x14ac:dyDescent="0.3">
      <c r="A28" s="132" t="s">
        <v>43</v>
      </c>
      <c r="B28" s="274">
        <f>B25-B27</f>
        <v>19247.412253739109</v>
      </c>
      <c r="C28" s="271">
        <f>C25-C27</f>
        <v>12711.893851479765</v>
      </c>
      <c r="D28" s="126">
        <f>D25-D27</f>
        <v>0</v>
      </c>
      <c r="E28" s="127">
        <f>E25-E27</f>
        <v>0</v>
      </c>
      <c r="F28" s="69"/>
    </row>
    <row r="29" spans="1:6" ht="23.25" customHeight="1" thickBot="1" x14ac:dyDescent="0.3">
      <c r="A29" s="183" t="s">
        <v>151</v>
      </c>
      <c r="B29" s="181"/>
      <c r="C29" s="182"/>
      <c r="D29" s="182"/>
      <c r="E29" s="182"/>
    </row>
    <row r="30" spans="1:6" x14ac:dyDescent="0.25">
      <c r="A30" s="130" t="s">
        <v>20</v>
      </c>
      <c r="B30" s="272">
        <f>$C$7/4</f>
        <v>6196.5</v>
      </c>
      <c r="C30" s="270">
        <f>$C$7/4</f>
        <v>6196.5</v>
      </c>
      <c r="D30" s="128">
        <f>$C$7/4</f>
        <v>6196.5</v>
      </c>
      <c r="E30" s="129">
        <f>$C$7/4</f>
        <v>6196.5</v>
      </c>
      <c r="F30" s="69"/>
    </row>
    <row r="31" spans="1:6" ht="16.5" thickBot="1" x14ac:dyDescent="0.3">
      <c r="A31" s="132" t="s">
        <v>44</v>
      </c>
      <c r="B31" s="274">
        <f>C7-B30</f>
        <v>18589.5</v>
      </c>
      <c r="C31" s="271">
        <f>B31-C30</f>
        <v>12393</v>
      </c>
      <c r="D31" s="126">
        <f>C31-D30</f>
        <v>6196.5</v>
      </c>
      <c r="E31" s="127">
        <f>D31-E30</f>
        <v>0</v>
      </c>
      <c r="F31" s="69"/>
    </row>
    <row r="32" spans="1:6" ht="23.25" customHeight="1" thickBot="1" x14ac:dyDescent="0.3">
      <c r="A32" s="183" t="s">
        <v>154</v>
      </c>
      <c r="B32" s="181"/>
      <c r="C32" s="182"/>
      <c r="D32" s="182"/>
      <c r="E32" s="182"/>
    </row>
    <row r="33" spans="1:5" x14ac:dyDescent="0.25">
      <c r="A33" s="130" t="s">
        <v>152</v>
      </c>
      <c r="B33" s="272">
        <f>-(B26+B30)</f>
        <v>-10657.912253739107</v>
      </c>
      <c r="C33" s="270">
        <f>-(C26+C30)</f>
        <v>-9660.9815977406561</v>
      </c>
      <c r="D33" s="128">
        <f>-(D26+D30)</f>
        <v>-8484.6061485202372</v>
      </c>
      <c r="E33" s="129">
        <f>-(E26+E30)</f>
        <v>-6196.5</v>
      </c>
    </row>
    <row r="34" spans="1:5" ht="16.5" thickBot="1" x14ac:dyDescent="0.3">
      <c r="A34" s="132" t="s">
        <v>153</v>
      </c>
      <c r="B34" s="274">
        <f>B33</f>
        <v>-10657.912253739107</v>
      </c>
      <c r="C34" s="271">
        <f>B34+C33</f>
        <v>-20318.893851479763</v>
      </c>
      <c r="D34" s="126">
        <f>C34+D33</f>
        <v>-28803.5</v>
      </c>
      <c r="E34" s="127">
        <f>D34+E33</f>
        <v>-35000</v>
      </c>
    </row>
  </sheetData>
  <mergeCells count="1">
    <mergeCell ref="C15:E15"/>
  </mergeCells>
  <phoneticPr fontId="0" type="noConversion"/>
  <hyperlinks>
    <hyperlink ref="E1" location="Obsah!A1" display="Skok na obsah" xr:uid="{00000000-0004-0000-0700-000000000000}"/>
  </hyperlinks>
  <printOptions horizontalCentered="1" gridLinesSet="0"/>
  <pageMargins left="0.59055118110236227" right="0.59055118110236227" top="1.1811023622047245" bottom="0.98425196850393704" header="0.51181102362204722" footer="0.51181102362204722"/>
  <pageSetup paperSize="9" orientation="portrait" r:id="rId1"/>
  <headerFooter alignWithMargins="0">
    <oddHeader>&amp;L&amp;"Arial CE,Obyčejné"&amp;10Mařík, M. a kol.: Metody oceňování podniku pro pokročilé
Ekopress 2023&amp;R&amp;"Arial CE,Obyčejné"&amp;10Komplexní příklad EVA</oddHeader>
    <oddFooter>&amp;C&amp;A&amp;R&amp;"Arial CE,Kurzíva"&amp;10© M. Mařík, P. Maříková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2"/>
  <sheetViews>
    <sheetView showGridLines="0" workbookViewId="0"/>
  </sheetViews>
  <sheetFormatPr defaultRowHeight="15.75" x14ac:dyDescent="0.25"/>
  <cols>
    <col min="1" max="1" width="11.75" customWidth="1"/>
    <col min="2" max="5" width="7.25" customWidth="1"/>
    <col min="6" max="6" width="16.625" customWidth="1"/>
    <col min="7" max="10" width="7.125" customWidth="1"/>
    <col min="11" max="11" width="0.75" customWidth="1"/>
  </cols>
  <sheetData>
    <row r="1" spans="1:11" s="154" customFormat="1" x14ac:dyDescent="0.25">
      <c r="J1" s="221" t="s">
        <v>203</v>
      </c>
    </row>
    <row r="2" spans="1:11" x14ac:dyDescent="0.25">
      <c r="A2" s="256" t="s">
        <v>173</v>
      </c>
    </row>
    <row r="4" spans="1:11" ht="16.5" thickBot="1" x14ac:dyDescent="0.3">
      <c r="A4" s="5" t="s">
        <v>52</v>
      </c>
    </row>
    <row r="5" spans="1:11" ht="16.5" thickBot="1" x14ac:dyDescent="0.3">
      <c r="A5" s="392" t="s">
        <v>6</v>
      </c>
      <c r="B5" s="388">
        <f>'1 Aktiva'!B4</f>
        <v>2022</v>
      </c>
      <c r="C5" s="399">
        <f>'1 Aktiva'!C4</f>
        <v>2023</v>
      </c>
      <c r="D5" s="390">
        <f>'1 Aktiva'!D4</f>
        <v>2024</v>
      </c>
      <c r="E5" s="391">
        <f>'1 Aktiva'!E4</f>
        <v>2025</v>
      </c>
      <c r="F5" s="387" t="s">
        <v>13</v>
      </c>
      <c r="G5" s="388">
        <f>B5</f>
        <v>2022</v>
      </c>
      <c r="H5" s="389">
        <f>C5</f>
        <v>2023</v>
      </c>
      <c r="I5" s="390">
        <f>D5</f>
        <v>2024</v>
      </c>
      <c r="J5" s="391">
        <f>E5</f>
        <v>2025</v>
      </c>
      <c r="K5" s="69"/>
    </row>
    <row r="6" spans="1:11" ht="30" x14ac:dyDescent="0.25">
      <c r="A6" s="240" t="s">
        <v>278</v>
      </c>
      <c r="B6" s="241">
        <f>'1 Aktiva'!B6</f>
        <v>65394</v>
      </c>
      <c r="C6" s="241">
        <f>'1 Aktiva'!C6</f>
        <v>66043</v>
      </c>
      <c r="D6" s="241">
        <f>'1 Aktiva'!D6</f>
        <v>67043</v>
      </c>
      <c r="E6" s="242">
        <f>'1 Aktiva'!E6</f>
        <v>67043</v>
      </c>
      <c r="F6" s="140" t="s">
        <v>53</v>
      </c>
      <c r="G6" s="88">
        <f>'2 Pasiva'!B6</f>
        <v>64329.603499999997</v>
      </c>
      <c r="H6" s="88">
        <f>'2 Pasiva'!C6</f>
        <v>77899.622999999992</v>
      </c>
      <c r="I6" s="88">
        <f>'2 Pasiva'!D6</f>
        <v>90865.949499999988</v>
      </c>
      <c r="J6" s="88">
        <f>'2 Pasiva'!E6</f>
        <v>108600.3815</v>
      </c>
      <c r="K6" s="69"/>
    </row>
    <row r="7" spans="1:11" ht="30" x14ac:dyDescent="0.25">
      <c r="A7" s="225" t="s">
        <v>133</v>
      </c>
      <c r="B7" s="89">
        <f>'6 Marketing'!B17</f>
        <v>1660</v>
      </c>
      <c r="C7" s="89">
        <f>'6 Marketing'!C17</f>
        <v>3230</v>
      </c>
      <c r="D7" s="89">
        <f>'6 Marketing'!D17</f>
        <v>1200</v>
      </c>
      <c r="E7" s="226">
        <f>'6 Marketing'!E17</f>
        <v>0</v>
      </c>
      <c r="F7" s="202" t="s">
        <v>134</v>
      </c>
      <c r="G7" s="177">
        <f>B7</f>
        <v>1660</v>
      </c>
      <c r="H7" s="177">
        <f>C7</f>
        <v>3230</v>
      </c>
      <c r="I7" s="177">
        <f>D7</f>
        <v>1200</v>
      </c>
      <c r="J7" s="177">
        <f>E7</f>
        <v>0</v>
      </c>
      <c r="K7" s="69"/>
    </row>
    <row r="8" spans="1:11" ht="16.5" thickBot="1" x14ac:dyDescent="0.3">
      <c r="A8" s="203" t="s">
        <v>172</v>
      </c>
      <c r="B8" s="91">
        <f>'7 Leasing'!B31</f>
        <v>18589.5</v>
      </c>
      <c r="C8" s="91">
        <f>'7 Leasing'!C31</f>
        <v>12393</v>
      </c>
      <c r="D8" s="91">
        <f>'7 Leasing'!D31</f>
        <v>6196.5</v>
      </c>
      <c r="E8" s="184">
        <f>'7 Leasing'!E31</f>
        <v>0</v>
      </c>
      <c r="F8" s="204" t="s">
        <v>139</v>
      </c>
      <c r="G8" s="175">
        <f>'7 Leasing'!B34</f>
        <v>-10657.912253739107</v>
      </c>
      <c r="H8" s="175">
        <f>'7 Leasing'!C34</f>
        <v>-20318.893851479763</v>
      </c>
      <c r="I8" s="175">
        <f>'7 Leasing'!D34</f>
        <v>-28803.5</v>
      </c>
      <c r="J8" s="175">
        <f>'7 Leasing'!E34</f>
        <v>-35000</v>
      </c>
      <c r="K8" s="69"/>
    </row>
    <row r="9" spans="1:11" ht="30" x14ac:dyDescent="0.25">
      <c r="A9" s="201" t="s">
        <v>54</v>
      </c>
      <c r="B9" s="92">
        <f>'1 Aktiva'!B13-'1 Aktiva'!B22-'2 Pasiva'!B16+'8 NOA'!B10</f>
        <v>25708.603499999997</v>
      </c>
      <c r="C9" s="92">
        <f>'1 Aktiva'!C13-'1 Aktiva'!C22-'2 Pasiva'!C16+'8 NOA'!C10</f>
        <v>33163.622999999992</v>
      </c>
      <c r="D9" s="92">
        <f>'1 Aktiva'!D13-'1 Aktiva'!D22-'2 Pasiva'!D16+'8 NOA'!D10</f>
        <v>32618.949500000002</v>
      </c>
      <c r="E9" s="176">
        <f>'1 Aktiva'!E13-'1 Aktiva'!E22-'2 Pasiva'!E16+'8 NOA'!E10</f>
        <v>50353.381500000003</v>
      </c>
      <c r="F9" s="205" t="s">
        <v>138</v>
      </c>
      <c r="G9" s="90">
        <f>'7 Leasing'!B28</f>
        <v>19247.412253739109</v>
      </c>
      <c r="H9" s="90">
        <f>'7 Leasing'!C28</f>
        <v>12711.893851479765</v>
      </c>
      <c r="I9" s="90">
        <f>'7 Leasing'!D28</f>
        <v>0</v>
      </c>
      <c r="J9" s="90">
        <f>'7 Leasing'!E28</f>
        <v>0</v>
      </c>
      <c r="K9" s="69"/>
    </row>
    <row r="10" spans="1:11" ht="30.75" thickBot="1" x14ac:dyDescent="0.3">
      <c r="A10" s="206" t="s">
        <v>109</v>
      </c>
      <c r="B10" s="207">
        <f>'1 Aktiva'!B22-SUM('7 Leasing'!$C$17:C17)</f>
        <v>16488.603499999997</v>
      </c>
      <c r="C10" s="207">
        <f>'1 Aktiva'!C22-SUM('7 Leasing'!$C$17:D17)</f>
        <v>19156.623</v>
      </c>
      <c r="D10" s="207">
        <f>'1 Aktiva'!D22-SUM('7 Leasing'!$C$17:E17)</f>
        <v>13151.949500000002</v>
      </c>
      <c r="E10" s="208">
        <f>'1 Aktiva'!E22-SUM('7 Leasing'!$C$17:F17)</f>
        <v>29318.381500000003</v>
      </c>
      <c r="F10" s="203" t="s">
        <v>55</v>
      </c>
      <c r="G10" s="91">
        <f>'2 Pasiva'!B14+'2 Pasiva'!B15</f>
        <v>36773</v>
      </c>
      <c r="H10" s="91">
        <f>'2 Pasiva'!C14+'2 Pasiva'!C15</f>
        <v>41307</v>
      </c>
      <c r="I10" s="91">
        <f>'2 Pasiva'!D14+'2 Pasiva'!D15</f>
        <v>43796</v>
      </c>
      <c r="J10" s="91">
        <f>'2 Pasiva'!E14+'2 Pasiva'!E15</f>
        <v>43796</v>
      </c>
      <c r="K10" s="69"/>
    </row>
    <row r="11" spans="1:11" ht="16.5" thickBot="1" x14ac:dyDescent="0.3">
      <c r="A11" s="209" t="s">
        <v>56</v>
      </c>
      <c r="B11" s="210">
        <f>SUM(B6:B9)</f>
        <v>111352.1035</v>
      </c>
      <c r="C11" s="210">
        <f>SUM(C6:C9)</f>
        <v>114829.62299999999</v>
      </c>
      <c r="D11" s="210">
        <f>SUM(D6:D9)</f>
        <v>107058.4495</v>
      </c>
      <c r="E11" s="210">
        <f>SUM(E6:E9)</f>
        <v>117396.3815</v>
      </c>
      <c r="F11" s="209" t="s">
        <v>56</v>
      </c>
      <c r="G11" s="210">
        <f>SUM(G6:G10)</f>
        <v>111352.1035</v>
      </c>
      <c r="H11" s="210">
        <f>SUM(H6:H10)</f>
        <v>114829.62299999999</v>
      </c>
      <c r="I11" s="210">
        <f>SUM(I6:I10)</f>
        <v>107058.44949999999</v>
      </c>
      <c r="J11" s="210">
        <f>SUM(J6:J10)</f>
        <v>117396.3815</v>
      </c>
      <c r="K11" s="69"/>
    </row>
    <row r="12" spans="1:11" x14ac:dyDescent="0.25">
      <c r="F12" s="163"/>
      <c r="G12" s="164"/>
      <c r="H12" s="164"/>
      <c r="I12" s="164"/>
      <c r="J12" s="164"/>
    </row>
    <row r="13" spans="1:11" ht="16.5" thickBot="1" x14ac:dyDescent="0.3">
      <c r="A13" s="5" t="s">
        <v>157</v>
      </c>
    </row>
    <row r="14" spans="1:11" ht="16.5" thickBot="1" x14ac:dyDescent="0.3">
      <c r="A14" s="402"/>
      <c r="B14" s="400"/>
      <c r="C14" s="400"/>
      <c r="D14" s="400"/>
      <c r="E14" s="400"/>
      <c r="F14" s="401"/>
      <c r="G14" s="388">
        <f>B5</f>
        <v>2022</v>
      </c>
      <c r="H14" s="389">
        <f>C5</f>
        <v>2023</v>
      </c>
      <c r="I14" s="390">
        <f>D5</f>
        <v>2024</v>
      </c>
      <c r="J14" s="391">
        <f>E5</f>
        <v>2025</v>
      </c>
      <c r="K14" s="69"/>
    </row>
    <row r="15" spans="1:11" x14ac:dyDescent="0.25">
      <c r="A15" s="72" t="s">
        <v>97</v>
      </c>
      <c r="B15" s="73"/>
      <c r="C15" s="73"/>
      <c r="D15" s="73"/>
      <c r="E15" s="73"/>
      <c r="F15" s="74"/>
      <c r="G15" s="75">
        <f>'5 Informace'!$D$15*'2 Pasiva'!B16</f>
        <v>8859.6</v>
      </c>
      <c r="H15" s="75">
        <f>'5 Informace'!$D$15*'2 Pasiva'!C16</f>
        <v>11155.8</v>
      </c>
      <c r="I15" s="75">
        <f>'5 Informace'!$D$15*'2 Pasiva'!D16</f>
        <v>12188.4</v>
      </c>
      <c r="J15" s="75">
        <f>'5 Informace'!$D$15*'2 Pasiva'!E16</f>
        <v>12974.4</v>
      </c>
      <c r="K15" s="69"/>
    </row>
    <row r="16" spans="1:11" x14ac:dyDescent="0.25">
      <c r="A16" s="69" t="s">
        <v>98</v>
      </c>
      <c r="F16" s="71"/>
      <c r="G16" s="76">
        <f>B10-'8 NOA'!G15</f>
        <v>7629.0034999999971</v>
      </c>
      <c r="H16" s="76">
        <f>C10-'8 NOA'!H15</f>
        <v>8000.8230000000003</v>
      </c>
      <c r="I16" s="76">
        <f>D10-'8 NOA'!I15</f>
        <v>963.54950000000281</v>
      </c>
      <c r="J16" s="76">
        <f>E10-'8 NOA'!J15</f>
        <v>16343.981500000004</v>
      </c>
      <c r="K16" s="69"/>
    </row>
    <row r="17" spans="1:11" ht="16.5" thickBot="1" x14ac:dyDescent="0.3">
      <c r="A17" s="69" t="s">
        <v>96</v>
      </c>
      <c r="F17" s="71"/>
      <c r="G17" s="76">
        <f>'1 Aktiva'!B11+'1 Aktiva'!B21</f>
        <v>16000</v>
      </c>
      <c r="H17" s="76">
        <f>'1 Aktiva'!C11+'1 Aktiva'!C21</f>
        <v>16000</v>
      </c>
      <c r="I17" s="76">
        <f>'1 Aktiva'!D11+'1 Aktiva'!D21</f>
        <v>16000</v>
      </c>
      <c r="J17" s="76">
        <f>'1 Aktiva'!E11+'1 Aktiva'!E21</f>
        <v>16000</v>
      </c>
      <c r="K17" s="69"/>
    </row>
    <row r="18" spans="1:11" ht="16.5" thickBot="1" x14ac:dyDescent="0.3">
      <c r="A18" s="77" t="s">
        <v>57</v>
      </c>
      <c r="B18" s="78"/>
      <c r="C18" s="78"/>
      <c r="D18" s="78"/>
      <c r="E18" s="78"/>
      <c r="F18" s="79"/>
      <c r="G18" s="70">
        <f>G16+G17</f>
        <v>23629.003499999999</v>
      </c>
      <c r="H18" s="70">
        <f>H16+H17</f>
        <v>24000.823</v>
      </c>
      <c r="I18" s="70">
        <f>I16+I17</f>
        <v>16963.549500000001</v>
      </c>
      <c r="J18" s="70">
        <f>J16+J17</f>
        <v>32343.981500000002</v>
      </c>
      <c r="K18" s="69"/>
    </row>
    <row r="20" spans="1:11" ht="16.5" thickBot="1" x14ac:dyDescent="0.3">
      <c r="A20" s="5" t="s">
        <v>174</v>
      </c>
    </row>
    <row r="21" spans="1:11" ht="16.5" thickBot="1" x14ac:dyDescent="0.3">
      <c r="A21" s="402"/>
      <c r="B21" s="400"/>
      <c r="C21" s="400"/>
      <c r="D21" s="400"/>
      <c r="E21" s="400"/>
      <c r="F21" s="401"/>
      <c r="G21" s="388">
        <f>G14</f>
        <v>2022</v>
      </c>
      <c r="H21" s="389">
        <f>H14</f>
        <v>2023</v>
      </c>
      <c r="I21" s="390">
        <f>I14</f>
        <v>2024</v>
      </c>
      <c r="J21" s="391">
        <f>J14</f>
        <v>2025</v>
      </c>
      <c r="K21" s="69"/>
    </row>
    <row r="22" spans="1:11" ht="16.5" thickBot="1" x14ac:dyDescent="0.3">
      <c r="A22" s="185" t="s">
        <v>158</v>
      </c>
      <c r="B22" s="186"/>
      <c r="C22" s="186"/>
      <c r="D22" s="186"/>
      <c r="E22" s="186"/>
      <c r="F22" s="187"/>
      <c r="G22" s="188">
        <f>G11-G18</f>
        <v>87723.1</v>
      </c>
      <c r="H22" s="188">
        <f>H11-H18</f>
        <v>90828.799999999988</v>
      </c>
      <c r="I22" s="188">
        <f>I11-I18</f>
        <v>90094.9</v>
      </c>
      <c r="J22" s="188">
        <f>J11-J18</f>
        <v>85052.4</v>
      </c>
      <c r="K22" s="69"/>
    </row>
  </sheetData>
  <phoneticPr fontId="0" type="noConversion"/>
  <hyperlinks>
    <hyperlink ref="J1" location="Obsah!A1" display="Skok na obsah" xr:uid="{00000000-0004-0000-0800-000000000000}"/>
  </hyperlinks>
  <printOptions horizontalCentered="1" gridLinesSet="0"/>
  <pageMargins left="0.59055118110236227" right="0.59055118110236227" top="1.1811023622047245" bottom="0.98425196850393704" header="0.51181102362204722" footer="0.51181102362204722"/>
  <pageSetup paperSize="9" scale="97" orientation="portrait" r:id="rId1"/>
  <headerFooter alignWithMargins="0">
    <oddHeader>&amp;L&amp;"Arial CE,Obyčejné"&amp;10Mařík, M. a kol.: Metody oceňování podniku pro pokročilé
Ekopress 2023&amp;R&amp;"Arial CE,Obyčejné"&amp;10Komplexní příklad EVA</oddHeader>
    <oddFooter>&amp;C&amp;A&amp;R&amp;"Arial CE,Kurzíva"&amp;10© M. Mařík, P. Maříková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17</vt:i4>
      </vt:variant>
      <vt:variant>
        <vt:lpstr>Pojmenované oblasti</vt:lpstr>
      </vt:variant>
      <vt:variant>
        <vt:i4>2</vt:i4>
      </vt:variant>
    </vt:vector>
  </HeadingPairs>
  <TitlesOfParts>
    <vt:vector size="19" baseType="lpstr">
      <vt:lpstr>Obsah</vt:lpstr>
      <vt:lpstr>1 Aktiva</vt:lpstr>
      <vt:lpstr>2 Pasiva</vt:lpstr>
      <vt:lpstr>3 Výsledovka</vt:lpstr>
      <vt:lpstr>4 Cash flow</vt:lpstr>
      <vt:lpstr>5 Informace</vt:lpstr>
      <vt:lpstr>6 Marketing</vt:lpstr>
      <vt:lpstr>7 Leasing</vt:lpstr>
      <vt:lpstr>8 NOA</vt:lpstr>
      <vt:lpstr>9 NOPAT</vt:lpstr>
      <vt:lpstr>10 WACC</vt:lpstr>
      <vt:lpstr>11 EVA</vt:lpstr>
      <vt:lpstr>12 DCF</vt:lpstr>
      <vt:lpstr>13 Výsledovka upravená</vt:lpstr>
      <vt:lpstr>14 Cash flow upravené</vt:lpstr>
      <vt:lpstr>15 Aktiva upravená</vt:lpstr>
      <vt:lpstr>16 Pasiva upravená</vt:lpstr>
      <vt:lpstr>'5 Informace'!Oblast_tisku</vt:lpstr>
      <vt:lpstr>rok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Ekonomická přidaná hodnota</dc:title>
  <dc:subject>Metody oceňování podniku pro pokročilé</dc:subject>
  <dc:creator>Mařík Miloš, Maříková Pavla</dc:creator>
  <cp:lastModifiedBy>Pavla Maříková</cp:lastModifiedBy>
  <cp:lastPrinted>2023-08-09T15:41:14Z</cp:lastPrinted>
  <dcterms:created xsi:type="dcterms:W3CDTF">2002-10-01T09:01:14Z</dcterms:created>
  <dcterms:modified xsi:type="dcterms:W3CDTF">2023-08-09T15:41:41Z</dcterms:modified>
</cp:coreProperties>
</file>