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015" activeTab="0"/>
  </bookViews>
  <sheets>
    <sheet name="Obsah" sheetId="1" r:id="rId1"/>
    <sheet name="1 Regrese - Čas lin" sheetId="2" r:id="rId2"/>
    <sheet name="2 Regrese - HDP log" sheetId="3" r:id="rId3"/>
    <sheet name="3 Regrese - HDP lin" sheetId="4" r:id="rId4"/>
    <sheet name="4 Vnější potenciál" sheetId="5" r:id="rId5"/>
    <sheet name="5 Vnitřní potenciál" sheetId="6" r:id="rId6"/>
    <sheet name="6 Tržby UNIPO" sheetId="7" r:id="rId7"/>
    <sheet name="7 Rozvaha" sheetId="8" r:id="rId8"/>
    <sheet name="8 Výsledovka" sheetId="9" r:id="rId9"/>
    <sheet name="9 Cash flow" sheetId="10" r:id="rId10"/>
    <sheet name="10 Struktura rozvahy" sheetId="11" r:id="rId11"/>
    <sheet name="11 Tempo rozvaha" sheetId="12" r:id="rId12"/>
    <sheet name="12 Struktura výsledovky" sheetId="13" r:id="rId13"/>
    <sheet name="13 Tempo výsledovka" sheetId="14" r:id="rId14"/>
    <sheet name="14 Ukazatele" sheetId="15" r:id="rId15"/>
    <sheet name="15 Rozdělení majektu" sheetId="16" r:id="rId16"/>
    <sheet name="16 Generátory" sheetId="17" r:id="rId17"/>
    <sheet name="17 Generátory - ocenění" sheetId="18" r:id="rId18"/>
    <sheet name="18 Plán" sheetId="19" r:id="rId19"/>
    <sheet name="19 nVK - CAPM" sheetId="20" r:id="rId20"/>
    <sheet name="20 nVK - Stavebnice" sheetId="21" r:id="rId21"/>
    <sheet name="21 WACC" sheetId="22" r:id="rId22"/>
    <sheet name="22 DCF" sheetId="23" r:id="rId23"/>
    <sheet name="23 EVA" sheetId="24" r:id="rId24"/>
    <sheet name="24 KČV" sheetId="25" r:id="rId25"/>
    <sheet name="25 Pohledávka" sheetId="26" r:id="rId26"/>
    <sheet name="26 Dluhopisy" sheetId="27" r:id="rId27"/>
    <sheet name="27 Souhrnné ocenění" sheetId="28" r:id="rId28"/>
  </sheets>
  <definedNames>
    <definedName name="výchozí_rok">'7 Rozvaha'!$C$3</definedName>
  </definedNames>
  <calcPr fullCalcOnLoad="1" iterate="1" iterateCount="100" iterateDelta="0.001"/>
</workbook>
</file>

<file path=xl/comments15.xml><?xml version="1.0" encoding="utf-8"?>
<comments xmlns="http://schemas.openxmlformats.org/spreadsheetml/2006/main">
  <authors>
    <author>Mařík Miloš</author>
  </authors>
  <commentList>
    <comment ref="A5" authorId="0">
      <text>
        <r>
          <rPr>
            <b/>
            <sz val="8"/>
            <rFont val="Tahoma"/>
            <family val="2"/>
          </rPr>
          <t>Mařík Miloš:</t>
        </r>
        <r>
          <rPr>
            <sz val="8"/>
            <rFont val="Tahoma"/>
            <family val="2"/>
          </rPr>
          <t xml:space="preserve">
Krátkodobý finanční majetek / (Krátkodobé závazky + Běžné bank. úvěry)</t>
        </r>
      </text>
    </comment>
    <comment ref="A6" authorId="0">
      <text>
        <r>
          <rPr>
            <b/>
            <sz val="8"/>
            <rFont val="Tahoma"/>
            <family val="2"/>
          </rPr>
          <t>Mařík Miloš:</t>
        </r>
        <r>
          <rPr>
            <sz val="8"/>
            <rFont val="Tahoma"/>
            <family val="2"/>
          </rPr>
          <t xml:space="preserve">
(Krátkodobý finanční majetek + Krátkodobé pohledávky) / (Krátkodobé závazky + Běžné bank. úvěry)</t>
        </r>
      </text>
    </comment>
    <comment ref="A7" authorId="0">
      <text>
        <r>
          <rPr>
            <b/>
            <sz val="8"/>
            <rFont val="Tahoma"/>
            <family val="2"/>
          </rPr>
          <t>Mařík Miloš:</t>
        </r>
        <r>
          <rPr>
            <sz val="8"/>
            <rFont val="Tahoma"/>
            <family val="2"/>
          </rPr>
          <t xml:space="preserve">
Oběžná aktiva / (Krátkodobé závazky + Běžné bank. úvěry)</t>
        </r>
      </text>
    </comment>
    <comment ref="A9" authorId="0">
      <text>
        <r>
          <rPr>
            <b/>
            <sz val="8"/>
            <rFont val="Tahoma"/>
            <family val="2"/>
          </rPr>
          <t>Mařík Miloš:</t>
        </r>
        <r>
          <rPr>
            <sz val="8"/>
            <rFont val="Tahoma"/>
            <family val="2"/>
          </rPr>
          <t xml:space="preserve">
Vlastní kapitál / Pasiva celkem</t>
        </r>
      </text>
    </comment>
    <comment ref="A10" authorId="0">
      <text>
        <r>
          <rPr>
            <b/>
            <sz val="8"/>
            <rFont val="Tahoma"/>
            <family val="2"/>
          </rPr>
          <t>Mařík Miloš:</t>
        </r>
        <r>
          <rPr>
            <sz val="8"/>
            <rFont val="Tahoma"/>
            <family val="2"/>
          </rPr>
          <t xml:space="preserve">
(Výsledek hospodaření před zdaněním + Nákladové úroky) / Nákladové úrokoy</t>
        </r>
      </text>
    </comment>
    <comment ref="A11" authorId="0">
      <text>
        <r>
          <rPr>
            <b/>
            <sz val="8"/>
            <rFont val="Tahoma"/>
            <family val="2"/>
          </rPr>
          <t>Mařík Miloš:</t>
        </r>
        <r>
          <rPr>
            <sz val="8"/>
            <rFont val="Tahoma"/>
            <family val="2"/>
          </rPr>
          <t xml:space="preserve">
(Cizí zdroje - Nákladové rezervy) / Peněžní tok z provozní činnosti
Poznámka: Čitatel by bylo možné snížit ještě o výši peněz v pokladně a na běžném účtu</t>
        </r>
      </text>
    </comment>
    <comment ref="A13" authorId="0">
      <text>
        <r>
          <rPr>
            <b/>
            <sz val="8"/>
            <rFont val="Tahoma"/>
            <family val="2"/>
          </rPr>
          <t>Mařík Miloš:</t>
        </r>
        <r>
          <rPr>
            <sz val="8"/>
            <rFont val="Tahoma"/>
            <family val="2"/>
          </rPr>
          <t xml:space="preserve">
(Výsledek hospodaření před daněmi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4" authorId="0">
      <text>
        <r>
          <rPr>
            <b/>
            <sz val="8"/>
            <rFont val="Tahoma"/>
            <family val="2"/>
          </rPr>
          <t>Mařík Miloš:</t>
        </r>
        <r>
          <rPr>
            <sz val="8"/>
            <rFont val="Tahoma"/>
            <family val="2"/>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5" authorId="0">
      <text>
        <r>
          <rPr>
            <b/>
            <sz val="8"/>
            <rFont val="Tahoma"/>
            <family val="2"/>
          </rPr>
          <t>Mařík Miloš:</t>
        </r>
        <r>
          <rPr>
            <sz val="8"/>
            <rFont val="Tahoma"/>
            <family val="2"/>
          </rPr>
          <t xml:space="preserve">
Výsledek hospodaření za účetní období / Tržby</t>
        </r>
      </text>
    </comment>
    <comment ref="A16" authorId="0">
      <text>
        <r>
          <rPr>
            <b/>
            <sz val="8"/>
            <rFont val="Tahoma"/>
            <family val="2"/>
          </rPr>
          <t>Mařík Miloš:</t>
        </r>
        <r>
          <rPr>
            <sz val="8"/>
            <rFont val="Tahoma"/>
            <family val="2"/>
          </rPr>
          <t xml:space="preserve">
Provozní výsledek hospodaření / Tržby</t>
        </r>
      </text>
    </comment>
    <comment ref="A17" authorId="0">
      <text>
        <r>
          <rPr>
            <b/>
            <sz val="8"/>
            <rFont val="Tahoma"/>
            <family val="2"/>
          </rPr>
          <t>Mařík Miloš:</t>
        </r>
        <r>
          <rPr>
            <sz val="8"/>
            <rFont val="Tahoma"/>
            <family val="2"/>
          </rPr>
          <t xml:space="preserve">
Peněžní tok z provozní činnosti / Tržby</t>
        </r>
      </text>
    </comment>
    <comment ref="A19" authorId="0">
      <text>
        <r>
          <rPr>
            <b/>
            <sz val="8"/>
            <rFont val="Tahoma"/>
            <family val="2"/>
          </rPr>
          <t>Mařík Miloš:</t>
        </r>
        <r>
          <rPr>
            <sz val="8"/>
            <rFont val="Tahoma"/>
            <family val="2"/>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20" authorId="0">
      <text>
        <r>
          <rPr>
            <b/>
            <sz val="8"/>
            <rFont val="Tahoma"/>
            <family val="2"/>
          </rPr>
          <t>Mařík Miloš:</t>
        </r>
        <r>
          <rPr>
            <sz val="8"/>
            <rFont val="Tahoma"/>
            <family val="2"/>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21" authorId="0">
      <text>
        <r>
          <rPr>
            <b/>
            <sz val="8"/>
            <rFont val="Tahoma"/>
            <family val="2"/>
          </rPr>
          <t>Mařík Miloš:</t>
        </r>
        <r>
          <rPr>
            <sz val="8"/>
            <rFont val="Tahoma"/>
            <family val="2"/>
          </rPr>
          <t xml:space="preserve">
Závazky z obchodních vztahů / [(Náklady vynaložené na prodané zboží + Výkonová spotřeba) / 365]
Poznámka: V čitateli jsou pro větší jednoduchost a proto, aby bylo možné dobu obratu počítat pro všechny roky, dosazeny závazky ke konci roku. Ekonomicky správnější by však bylo dosadit průměrnou výši závazků v daném roce.</t>
        </r>
      </text>
    </comment>
  </commentList>
</comments>
</file>

<file path=xl/comments16.xml><?xml version="1.0" encoding="utf-8"?>
<comments xmlns="http://schemas.openxmlformats.org/spreadsheetml/2006/main">
  <authors>
    <author>Mařík Miloš</author>
  </authors>
  <commentList>
    <comment ref="A14" authorId="0">
      <text>
        <r>
          <rPr>
            <b/>
            <sz val="8"/>
            <rFont val="Tahoma"/>
            <family val="2"/>
          </rPr>
          <t xml:space="preserve">Mařík Miloš:
</t>
        </r>
        <r>
          <rPr>
            <sz val="8"/>
            <rFont val="Tahoma"/>
            <family val="2"/>
          </rPr>
          <t>Maximálně 0,15</t>
        </r>
      </text>
    </comment>
    <comment ref="A15" authorId="0">
      <text>
        <r>
          <rPr>
            <b/>
            <sz val="8"/>
            <rFont val="Tahoma"/>
            <family val="2"/>
          </rPr>
          <t xml:space="preserve">Mařík Miloš:
</t>
        </r>
        <r>
          <rPr>
            <sz val="8"/>
            <rFont val="Tahoma"/>
            <family val="2"/>
          </rPr>
          <t>Provozně nutná likvidita . Krátkodobé závazky</t>
        </r>
      </text>
    </comment>
    <comment ref="A16" authorId="0">
      <text>
        <r>
          <rPr>
            <b/>
            <sz val="8"/>
            <rFont val="Tahoma"/>
            <family val="2"/>
          </rPr>
          <t xml:space="preserve">Mařík Miloš:
</t>
        </r>
        <r>
          <rPr>
            <sz val="8"/>
            <rFont val="Tahoma"/>
            <family val="2"/>
          </rPr>
          <t>Oběžná aktiva provozně nutná - Neúročené závazky</t>
        </r>
      </text>
    </comment>
  </commentList>
</comments>
</file>

<file path=xl/comments17.xml><?xml version="1.0" encoding="utf-8"?>
<comments xmlns="http://schemas.openxmlformats.org/spreadsheetml/2006/main">
  <authors>
    <author>Mařík Miloš</author>
  </authors>
  <commentList>
    <comment ref="A194" authorId="0">
      <text>
        <r>
          <rPr>
            <b/>
            <sz val="8"/>
            <rFont val="Tahoma"/>
            <family val="2"/>
          </rPr>
          <t xml:space="preserve">Mařík Miloš:
</t>
        </r>
        <r>
          <rPr>
            <sz val="8"/>
            <rFont val="Tahoma"/>
            <family val="2"/>
          </rPr>
          <t>Zisková marže x Obrat investovaného kapitálu
= KPVH / Investovaný kapitál k začátku roku</t>
        </r>
      </text>
    </comment>
    <comment ref="A193" authorId="0">
      <text>
        <r>
          <rPr>
            <b/>
            <sz val="8"/>
            <rFont val="Tahoma"/>
            <family val="2"/>
          </rPr>
          <t>Mařík Miloš:</t>
        </r>
        <r>
          <rPr>
            <sz val="8"/>
            <rFont val="Tahoma"/>
            <family val="2"/>
          </rPr>
          <t xml:space="preserve">
Tržby / Investovaný kapitál provozně nutný k začátku roku</t>
        </r>
      </text>
    </comment>
  </commentList>
</comments>
</file>

<file path=xl/comments19.xml><?xml version="1.0" encoding="utf-8"?>
<comments xmlns="http://schemas.openxmlformats.org/spreadsheetml/2006/main">
  <authors>
    <author>Mařík Miloš</author>
  </authors>
  <commentList>
    <comment ref="A151" authorId="0">
      <text>
        <r>
          <rPr>
            <b/>
            <sz val="8"/>
            <rFont val="Tahoma"/>
            <family val="2"/>
          </rPr>
          <t>Mařík Miloš:</t>
        </r>
        <r>
          <rPr>
            <sz val="8"/>
            <rFont val="Tahoma"/>
            <family val="2"/>
          </rPr>
          <t xml:space="preserve">
Krátkodobý finanční majetek / (Krátkodobé závazky + Běžné bank. úvěry)</t>
        </r>
      </text>
    </comment>
    <comment ref="A152" authorId="0">
      <text>
        <r>
          <rPr>
            <b/>
            <sz val="8"/>
            <rFont val="Tahoma"/>
            <family val="2"/>
          </rPr>
          <t>Mařík Miloš:</t>
        </r>
        <r>
          <rPr>
            <sz val="8"/>
            <rFont val="Tahoma"/>
            <family val="2"/>
          </rPr>
          <t xml:space="preserve">
(Krátkodobý finanční majetek + Krátkodobé pohledávky) / (Krátkodobé závazky + Běžné bank. úvěry)</t>
        </r>
      </text>
    </comment>
    <comment ref="A153" authorId="0">
      <text>
        <r>
          <rPr>
            <b/>
            <sz val="8"/>
            <rFont val="Tahoma"/>
            <family val="2"/>
          </rPr>
          <t>Mařík Miloš:</t>
        </r>
        <r>
          <rPr>
            <sz val="8"/>
            <rFont val="Tahoma"/>
            <family val="2"/>
          </rPr>
          <t xml:space="preserve">
Oběžná aktiva / (Krátkodobé závazky + Běžné bank. úvěry)</t>
        </r>
      </text>
    </comment>
    <comment ref="A156" authorId="0">
      <text>
        <r>
          <rPr>
            <b/>
            <sz val="8"/>
            <rFont val="Tahoma"/>
            <family val="2"/>
          </rPr>
          <t>Mařík Miloš:</t>
        </r>
        <r>
          <rPr>
            <sz val="8"/>
            <rFont val="Tahoma"/>
            <family val="2"/>
          </rPr>
          <t xml:space="preserve">
Vlastní kapitál / Pasiva celkem</t>
        </r>
      </text>
    </comment>
    <comment ref="A157" authorId="0">
      <text>
        <r>
          <rPr>
            <b/>
            <sz val="8"/>
            <rFont val="Tahoma"/>
            <family val="2"/>
          </rPr>
          <t>Mařík Miloš:</t>
        </r>
        <r>
          <rPr>
            <sz val="8"/>
            <rFont val="Tahoma"/>
            <family val="2"/>
          </rPr>
          <t xml:space="preserve">
(Výsledek hospodaření před zdaněním + Nákladové úroky) / Nákladové úrokoy</t>
        </r>
      </text>
    </comment>
    <comment ref="A158" authorId="0">
      <text>
        <r>
          <rPr>
            <b/>
            <sz val="8"/>
            <rFont val="Tahoma"/>
            <family val="2"/>
          </rPr>
          <t>Mařík Miloš:</t>
        </r>
        <r>
          <rPr>
            <sz val="8"/>
            <rFont val="Tahoma"/>
            <family val="2"/>
          </rPr>
          <t xml:space="preserve">
(Cizí zdroje - Nákladové rezervy) / Peněžní tok z provozní činnosti
Poznámka: Čitatel by bylo možné snížit ještě o výši peněz v pokladně a na běžném účtu</t>
        </r>
      </text>
    </comment>
    <comment ref="A161" authorId="0">
      <text>
        <r>
          <rPr>
            <b/>
            <sz val="8"/>
            <rFont val="Tahoma"/>
            <family val="2"/>
          </rPr>
          <t>Mařík Miloš:</t>
        </r>
        <r>
          <rPr>
            <sz val="8"/>
            <rFont val="Tahoma"/>
            <family val="2"/>
          </rPr>
          <t xml:space="preserve">
(Výsledek hospodaření před daněmi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62" authorId="0">
      <text>
        <r>
          <rPr>
            <b/>
            <sz val="8"/>
            <rFont val="Tahoma"/>
            <family val="2"/>
          </rPr>
          <t>Mařík Miloš:</t>
        </r>
        <r>
          <rPr>
            <sz val="8"/>
            <rFont val="Tahoma"/>
            <family val="2"/>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63" authorId="0">
      <text>
        <r>
          <rPr>
            <b/>
            <sz val="8"/>
            <rFont val="Tahoma"/>
            <family val="2"/>
          </rPr>
          <t>Mařík Miloš:</t>
        </r>
        <r>
          <rPr>
            <sz val="8"/>
            <rFont val="Tahoma"/>
            <family val="2"/>
          </rPr>
          <t xml:space="preserve">
Výsledek hospodaření za účetní období / Tržby</t>
        </r>
      </text>
    </comment>
    <comment ref="A164" authorId="0">
      <text>
        <r>
          <rPr>
            <b/>
            <sz val="8"/>
            <rFont val="Tahoma"/>
            <family val="2"/>
          </rPr>
          <t>Mařík Miloš:</t>
        </r>
        <r>
          <rPr>
            <sz val="8"/>
            <rFont val="Tahoma"/>
            <family val="2"/>
          </rPr>
          <t xml:space="preserve">
Provozní výsledek hospodaření / Tržby</t>
        </r>
      </text>
    </comment>
    <comment ref="A165" authorId="0">
      <text>
        <r>
          <rPr>
            <b/>
            <sz val="8"/>
            <rFont val="Tahoma"/>
            <family val="2"/>
          </rPr>
          <t>Mařík Miloš:</t>
        </r>
        <r>
          <rPr>
            <sz val="8"/>
            <rFont val="Tahoma"/>
            <family val="2"/>
          </rPr>
          <t xml:space="preserve">
Peněžní tok z provozní činnosti / Tržby</t>
        </r>
      </text>
    </comment>
    <comment ref="A172" authorId="0">
      <text>
        <r>
          <rPr>
            <b/>
            <sz val="8"/>
            <rFont val="Tahoma"/>
            <family val="2"/>
          </rPr>
          <t>Mařík Miloš:</t>
        </r>
        <r>
          <rPr>
            <sz val="8"/>
            <rFont val="Tahoma"/>
            <family val="2"/>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173" authorId="0">
      <text>
        <r>
          <rPr>
            <b/>
            <sz val="8"/>
            <rFont val="Tahoma"/>
            <family val="2"/>
          </rPr>
          <t>Mařík Miloš:</t>
        </r>
        <r>
          <rPr>
            <sz val="8"/>
            <rFont val="Tahoma"/>
            <family val="2"/>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174" authorId="0">
      <text>
        <r>
          <rPr>
            <b/>
            <sz val="8"/>
            <rFont val="Tahoma"/>
            <family val="2"/>
          </rPr>
          <t>Mařík Miloš:</t>
        </r>
        <r>
          <rPr>
            <sz val="8"/>
            <rFont val="Tahoma"/>
            <family val="2"/>
          </rPr>
          <t xml:space="preserve">
Závazky z obchodních vztahů / [(Náklady vynaložené na prodané zboží + Výkonová spotřeba) / 365]
Poznámka: V čitateli jsou pro větší jednoduchost a proto, aby bylo možné dobu obratu počítat pro všechny roky, dosazeny závazky ke konci roku. Ekonomicky správnější by však bylo dosadit průměrnou výši závazků v daném roce.</t>
        </r>
      </text>
    </comment>
    <comment ref="A168" authorId="0">
      <text>
        <r>
          <rPr>
            <b/>
            <sz val="8"/>
            <rFont val="Tahoma"/>
            <family val="2"/>
          </rPr>
          <t>Mařík Miloš:</t>
        </r>
        <r>
          <rPr>
            <sz val="8"/>
            <rFont val="Tahoma"/>
            <family val="2"/>
          </rPr>
          <t xml:space="preserve">
[Korigovaný provozní výsledek hospodaření x (1 - daňová sazba)] / Tržby</t>
        </r>
      </text>
    </comment>
    <comment ref="A169" authorId="0">
      <text>
        <r>
          <rPr>
            <b/>
            <sz val="8"/>
            <rFont val="Tahoma"/>
            <family val="2"/>
          </rPr>
          <t>Mařík Miloš:</t>
        </r>
        <r>
          <rPr>
            <sz val="8"/>
            <rFont val="Tahoma"/>
            <family val="2"/>
          </rPr>
          <t xml:space="preserve">
[Korigovaný provozní výsledek hospodaření x (1 - daňová sazba)] / Provozně nutný investovaný kapitál k počátku roku</t>
        </r>
      </text>
    </comment>
    <comment ref="A47" authorId="0">
      <text>
        <r>
          <rPr>
            <b/>
            <sz val="8"/>
            <rFont val="Tahoma"/>
            <family val="2"/>
          </rPr>
          <t>Mařík Miloš:</t>
        </r>
        <r>
          <rPr>
            <sz val="8"/>
            <rFont val="Tahoma"/>
            <family val="2"/>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 ref="A11" authorId="0">
      <text>
        <r>
          <rPr>
            <b/>
            <sz val="8"/>
            <rFont val="Tahoma"/>
            <family val="2"/>
          </rPr>
          <t>Mařík Miloš:</t>
        </r>
        <r>
          <rPr>
            <sz val="8"/>
            <rFont val="Tahoma"/>
            <family val="2"/>
          </rPr>
          <t xml:space="preserve">
Převzato z prognózy generátorů hodnoty (část "Prognóza tržeb")</t>
        </r>
      </text>
    </comment>
    <comment ref="A12" authorId="0">
      <text>
        <r>
          <rPr>
            <b/>
            <sz val="8"/>
            <rFont val="Tahoma"/>
            <family val="2"/>
          </rPr>
          <t>Mařík Miloš:</t>
        </r>
        <r>
          <rPr>
            <sz val="8"/>
            <rFont val="Tahoma"/>
            <family val="2"/>
          </rPr>
          <t xml:space="preserve">
Převzato z prognózy generátorů hodnoty
(část "Prognóza ziskové marže zdola)</t>
        </r>
      </text>
    </comment>
    <comment ref="A13" authorId="0">
      <text>
        <r>
          <rPr>
            <b/>
            <sz val="8"/>
            <rFont val="Tahoma"/>
            <family val="2"/>
          </rPr>
          <t>Mařík Miloš:</t>
        </r>
        <r>
          <rPr>
            <sz val="8"/>
            <rFont val="Tahoma"/>
            <family val="2"/>
          </rPr>
          <t xml:space="preserve">
Tržby za prodej zboží - Náklady vynaložené na prodané zboží</t>
        </r>
      </text>
    </comment>
    <comment ref="A14" authorId="0">
      <text>
        <r>
          <rPr>
            <b/>
            <sz val="8"/>
            <rFont val="Tahoma"/>
            <family val="2"/>
          </rPr>
          <t>Mařík Miloš:</t>
        </r>
        <r>
          <rPr>
            <sz val="8"/>
            <rFont val="Tahoma"/>
            <family val="2"/>
          </rPr>
          <t xml:space="preserve">
Převzato z prognózy generátorů hodnoty
(část "Prognóza ziskové marže zdola)</t>
        </r>
      </text>
    </comment>
    <comment ref="A15" authorId="0">
      <text>
        <r>
          <rPr>
            <b/>
            <sz val="8"/>
            <rFont val="Tahoma"/>
            <family val="2"/>
          </rPr>
          <t>Mařík Miloš:</t>
        </r>
        <r>
          <rPr>
            <sz val="8"/>
            <rFont val="Tahoma"/>
            <family val="2"/>
          </rPr>
          <t xml:space="preserve">
Obchodní marže + Výkony - Výkonová spotřeba
UNIPO je čistě obchodní podnik, proto položku Výkony nemá.</t>
        </r>
      </text>
    </comment>
    <comment ref="A16" authorId="0">
      <text>
        <r>
          <rPr>
            <b/>
            <sz val="8"/>
            <rFont val="Tahoma"/>
            <family val="2"/>
          </rPr>
          <t>Mařík Miloš:</t>
        </r>
        <r>
          <rPr>
            <sz val="8"/>
            <rFont val="Tahoma"/>
            <family val="2"/>
          </rPr>
          <t xml:space="preserve">
Převzato z prognózy generátorů hodnoty
(část "Prognóza ziskové marže zdola)</t>
        </r>
      </text>
    </comment>
    <comment ref="A17" authorId="0">
      <text>
        <r>
          <rPr>
            <b/>
            <sz val="8"/>
            <rFont val="Tahoma"/>
            <family val="2"/>
          </rPr>
          <t>Mařík Miloš:</t>
        </r>
        <r>
          <rPr>
            <sz val="8"/>
            <rFont val="Tahoma"/>
            <family val="2"/>
          </rPr>
          <t xml:space="preserve">
Převzato z prognózy generátorů hodnoty
(část "Prognóza ziskové marže zdola)</t>
        </r>
      </text>
    </comment>
    <comment ref="A18" authorId="0">
      <text>
        <r>
          <rPr>
            <b/>
            <sz val="8"/>
            <rFont val="Tahoma"/>
            <family val="2"/>
          </rPr>
          <t>Mařík Miloš:</t>
        </r>
        <r>
          <rPr>
            <sz val="8"/>
            <rFont val="Tahoma"/>
            <family val="2"/>
          </rPr>
          <t xml:space="preserve">
Převzato z prognózy generátorů hodnoty
(část "Prognóza ziskové marže zdola)</t>
        </r>
      </text>
    </comment>
    <comment ref="A19" authorId="0">
      <text>
        <r>
          <rPr>
            <b/>
            <sz val="8"/>
            <rFont val="Tahoma"/>
            <family val="2"/>
          </rPr>
          <t>Mařík Miloš:</t>
        </r>
        <r>
          <rPr>
            <sz val="8"/>
            <rFont val="Tahoma"/>
            <family val="2"/>
          </rPr>
          <t xml:space="preserve">
Žádné změny nákladových rezerv pro budoucí roky neplánujeme.</t>
        </r>
      </text>
    </comment>
    <comment ref="A20" authorId="0">
      <text>
        <r>
          <rPr>
            <b/>
            <sz val="8"/>
            <rFont val="Tahoma"/>
            <family val="2"/>
          </rPr>
          <t>Mařík Miloš:</t>
        </r>
        <r>
          <rPr>
            <sz val="8"/>
            <rFont val="Tahoma"/>
            <family val="2"/>
          </rPr>
          <t xml:space="preserve">
Výnosy - náklady z hlavního provozu, musí odpovídat KPVH z prognózy generátorů hodnoty (část Prognóza ziskové marže)</t>
        </r>
      </text>
    </comment>
    <comment ref="A24" authorId="0">
      <text>
        <r>
          <rPr>
            <b/>
            <sz val="8"/>
            <rFont val="Tahoma"/>
            <family val="2"/>
          </rPr>
          <t>Mařík Miloš:</t>
        </r>
        <r>
          <rPr>
            <sz val="8"/>
            <rFont val="Tahoma"/>
            <family val="2"/>
          </rPr>
          <t xml:space="preserve">
Úroková míra x Cizí úročený kapitál k počátku roku</t>
        </r>
      </text>
    </comment>
    <comment ref="A28" authorId="0">
      <text>
        <r>
          <rPr>
            <b/>
            <sz val="8"/>
            <rFont val="Tahoma"/>
            <family val="2"/>
          </rPr>
          <t>Mařík Miloš:</t>
        </r>
        <r>
          <rPr>
            <sz val="8"/>
            <rFont val="Tahoma"/>
            <family val="2"/>
          </rPr>
          <t xml:space="preserve">
Ponecháno na úrovni posledního roku. Jde o úrokový výnos z dluhopisu</t>
        </r>
      </text>
    </comment>
    <comment ref="A29" authorId="0">
      <text>
        <r>
          <rPr>
            <b/>
            <sz val="8"/>
            <rFont val="Tahoma"/>
            <family val="2"/>
          </rPr>
          <t>Mařík Miloš:</t>
        </r>
        <r>
          <rPr>
            <sz val="8"/>
            <rFont val="Tahoma"/>
            <family val="2"/>
          </rPr>
          <t xml:space="preserve">
Odhodovaná úroková míra x Peněžní prostředky k počátku roku</t>
        </r>
      </text>
    </comment>
    <comment ref="A30" authorId="0">
      <text>
        <r>
          <rPr>
            <b/>
            <sz val="8"/>
            <rFont val="Tahoma"/>
            <family val="2"/>
          </rPr>
          <t>Mařík Miloš:</t>
        </r>
        <r>
          <rPr>
            <sz val="8"/>
            <rFont val="Tahoma"/>
            <family val="2"/>
          </rPr>
          <t xml:space="preserve">
Finanční výnosy celkem</t>
        </r>
      </text>
    </comment>
    <comment ref="A34" authorId="0">
      <text>
        <r>
          <rPr>
            <b/>
            <sz val="8"/>
            <rFont val="Tahoma"/>
            <family val="2"/>
          </rPr>
          <t>Mařík Miloš:</t>
        </r>
        <r>
          <rPr>
            <sz val="8"/>
            <rFont val="Tahoma"/>
            <family val="2"/>
          </rPr>
          <t xml:space="preserve">
Pro budoucí roky neplánujeme.</t>
        </r>
      </text>
    </comment>
    <comment ref="A41" authorId="0">
      <text>
        <r>
          <rPr>
            <b/>
            <sz val="8"/>
            <rFont val="Tahoma"/>
            <family val="2"/>
          </rPr>
          <t>Mařík Miloš:</t>
        </r>
        <r>
          <rPr>
            <sz val="8"/>
            <rFont val="Tahoma"/>
            <family val="2"/>
          </rPr>
          <t xml:space="preserve">
Stav peněz na začátku roku = stav peněz na konci předchozího roku</t>
        </r>
      </text>
    </comment>
    <comment ref="A46" authorId="0">
      <text>
        <r>
          <rPr>
            <b/>
            <sz val="8"/>
            <rFont val="Tahoma"/>
            <family val="2"/>
          </rPr>
          <t>Mařík Miloš:</t>
        </r>
        <r>
          <rPr>
            <sz val="8"/>
            <rFont val="Tahoma"/>
            <family val="2"/>
          </rPr>
          <t xml:space="preserve">
Převzato z výsledovky</t>
        </r>
      </text>
    </comment>
    <comment ref="A50" authorId="0">
      <text>
        <r>
          <rPr>
            <b/>
            <sz val="8"/>
            <rFont val="Tahoma"/>
            <family val="2"/>
          </rPr>
          <t>Mařík Miloš:</t>
        </r>
        <r>
          <rPr>
            <sz val="8"/>
            <rFont val="Tahoma"/>
            <family val="2"/>
          </rPr>
          <t xml:space="preserve">
Převzato z výsledovky</t>
        </r>
      </text>
    </comment>
    <comment ref="A51" authorId="0">
      <text>
        <r>
          <rPr>
            <b/>
            <sz val="8"/>
            <rFont val="Tahoma"/>
            <family val="2"/>
          </rPr>
          <t>Mařík Miloš:</t>
        </r>
        <r>
          <rPr>
            <sz val="8"/>
            <rFont val="Tahoma"/>
            <family val="2"/>
          </rPr>
          <t xml:space="preserve">
Převzato z výsledovky</t>
        </r>
      </text>
    </comment>
    <comment ref="A53" authorId="0">
      <text>
        <r>
          <rPr>
            <b/>
            <sz val="8"/>
            <rFont val="Tahoma"/>
            <family val="2"/>
          </rPr>
          <t>Mařík Miloš:</t>
        </r>
        <r>
          <rPr>
            <sz val="8"/>
            <rFont val="Tahoma"/>
            <family val="2"/>
          </rPr>
          <t xml:space="preserve">
Převzato z prognózy generátorů hodnoty
(část Provozně nutný pracovní kapitál)</t>
        </r>
      </text>
    </comment>
    <comment ref="A54" authorId="0">
      <text>
        <r>
          <rPr>
            <b/>
            <sz val="8"/>
            <rFont val="Tahoma"/>
            <family val="2"/>
          </rPr>
          <t>Mařík Miloš:</t>
        </r>
        <r>
          <rPr>
            <sz val="8"/>
            <rFont val="Tahoma"/>
            <family val="2"/>
          </rPr>
          <t xml:space="preserve">
Převzato z prognózy generátorů hodnoty
(část Provozně nutný pracovní kapitál)</t>
        </r>
      </text>
    </comment>
    <comment ref="A55" authorId="0">
      <text>
        <r>
          <rPr>
            <b/>
            <sz val="8"/>
            <rFont val="Tahoma"/>
            <family val="2"/>
          </rPr>
          <t>Mařík Miloš:</t>
        </r>
        <r>
          <rPr>
            <sz val="8"/>
            <rFont val="Tahoma"/>
            <family val="2"/>
          </rPr>
          <t xml:space="preserve">
Převzato z prognózy generátorů hodnoty
(část Provozně nutný pracovní kapitál)</t>
        </r>
      </text>
    </comment>
    <comment ref="A58" authorId="0">
      <text>
        <r>
          <rPr>
            <b/>
            <sz val="8"/>
            <rFont val="Tahoma"/>
            <family val="2"/>
          </rPr>
          <t>Mařík Miloš:</t>
        </r>
        <r>
          <rPr>
            <sz val="8"/>
            <rFont val="Tahoma"/>
            <family val="2"/>
          </rPr>
          <t xml:space="preserve">
Převzato z prognózy generátorů hodnoty
(část Provozně nutný dlouhodobý majetekl)</t>
        </r>
      </text>
    </comment>
    <comment ref="A64" authorId="0">
      <text>
        <r>
          <rPr>
            <b/>
            <sz val="8"/>
            <rFont val="Tahoma"/>
            <family val="2"/>
          </rPr>
          <t>Mařík Miloš:</t>
        </r>
        <r>
          <rPr>
            <sz val="8"/>
            <rFont val="Tahoma"/>
            <family val="2"/>
          </rPr>
          <t xml:space="preserve">
Převzato z výsledovky</t>
        </r>
      </text>
    </comment>
    <comment ref="A69" authorId="0">
      <text>
        <r>
          <rPr>
            <b/>
            <sz val="8"/>
            <rFont val="Tahoma"/>
            <family val="2"/>
          </rPr>
          <t>Mařík Miloš:</t>
        </r>
        <r>
          <rPr>
            <sz val="8"/>
            <rFont val="Tahoma"/>
            <family val="2"/>
          </rPr>
          <t xml:space="preserve">
Převzato z výsledovky</t>
        </r>
      </text>
    </comment>
    <comment ref="A70" authorId="0">
      <text>
        <r>
          <rPr>
            <b/>
            <sz val="8"/>
            <rFont val="Tahoma"/>
            <family val="2"/>
          </rPr>
          <t>Mařík Miloš:</t>
        </r>
        <r>
          <rPr>
            <sz val="8"/>
            <rFont val="Tahoma"/>
            <family val="2"/>
          </rPr>
          <t xml:space="preserve">
Převzato z výsledovky</t>
        </r>
      </text>
    </comment>
    <comment ref="A71" authorId="0">
      <text>
        <r>
          <rPr>
            <b/>
            <sz val="8"/>
            <rFont val="Tahoma"/>
            <family val="2"/>
          </rPr>
          <t>Mařík Miloš:</t>
        </r>
        <r>
          <rPr>
            <sz val="8"/>
            <rFont val="Tahoma"/>
            <family val="2"/>
          </rPr>
          <t xml:space="preserve">
Rozdíl mezi celkovou daný vypočítanou ve výsledovce a daní připradající na KPVH vypočítanou v peněžním toku zprovozního majetku</t>
        </r>
      </text>
    </comment>
    <comment ref="A72" authorId="0">
      <text>
        <r>
          <rPr>
            <b/>
            <sz val="8"/>
            <rFont val="Tahoma"/>
            <family val="2"/>
          </rPr>
          <t>Mařík Miloš:</t>
        </r>
        <r>
          <rPr>
            <sz val="8"/>
            <rFont val="Tahoma"/>
            <family val="2"/>
          </rPr>
          <t xml:space="preserve">
Převzato z výsledovky (pro buducí roky mimořádný VH neplánujeme)</t>
        </r>
      </text>
    </comment>
    <comment ref="A74" authorId="0">
      <text>
        <r>
          <rPr>
            <b/>
            <sz val="8"/>
            <rFont val="Tahoma"/>
            <family val="2"/>
          </rPr>
          <t>Mařík Miloš:</t>
        </r>
        <r>
          <rPr>
            <sz val="8"/>
            <rFont val="Tahoma"/>
            <family val="2"/>
          </rPr>
          <t xml:space="preserve">
Dlouhodobý finanční majetek je v případě podniku UNIPO provozně nepotřebný. Jeho další nákupy plánovat nebudeme.</t>
        </r>
      </text>
    </comment>
    <comment ref="A76" authorId="0">
      <text>
        <r>
          <rPr>
            <b/>
            <sz val="8"/>
            <rFont val="Tahoma"/>
            <family val="2"/>
          </rPr>
          <t>Mařík Miloš:</t>
        </r>
        <r>
          <rPr>
            <sz val="8"/>
            <rFont val="Tahoma"/>
            <family val="2"/>
          </rPr>
          <t xml:space="preserve">
Ve finančním majetku jsou ještě dluhopisy. Jejich odprodej před splatností nepředpokládáme.</t>
        </r>
      </text>
    </comment>
    <comment ref="A83" authorId="0">
      <text>
        <r>
          <rPr>
            <b/>
            <sz val="8"/>
            <rFont val="Tahoma"/>
            <family val="2"/>
          </rPr>
          <t>Mařík Miloš:</t>
        </r>
        <r>
          <rPr>
            <sz val="8"/>
            <rFont val="Tahoma"/>
            <family val="2"/>
          </rPr>
          <t xml:space="preserve">
V případě podniku UNIPO nepředpokládáme změny dlouhodobého cizího kapitálu. Jinak by bylo vhodné pracovat samostatný dílčí plán dlouhodobého financování a z něho převzít změny do plánu peněžních toků. </t>
        </r>
      </text>
    </comment>
    <comment ref="A101" authorId="0">
      <text>
        <r>
          <rPr>
            <b/>
            <sz val="8"/>
            <rFont val="Tahoma"/>
            <family val="2"/>
          </rPr>
          <t>Mařík Miloš:</t>
        </r>
        <r>
          <rPr>
            <sz val="8"/>
            <rFont val="Tahoma"/>
            <family val="2"/>
          </rPr>
          <t xml:space="preserve">
Převzato z prognózy generátorů hodnoty (část Provozně potřebný dlouhodobý majetek)</t>
        </r>
      </text>
    </comment>
    <comment ref="A102" authorId="0">
      <text>
        <r>
          <rPr>
            <b/>
            <sz val="8"/>
            <rFont val="Tahoma"/>
            <family val="2"/>
          </rPr>
          <t>Mařík Miloš:</t>
        </r>
        <r>
          <rPr>
            <sz val="8"/>
            <rFont val="Tahoma"/>
            <family val="2"/>
          </rPr>
          <t xml:space="preserve">
Jednotlivé položky převzaty z prognózy generátorů hodnoty (část Provozně potřebný dlouhodobý majetek)</t>
        </r>
      </text>
    </comment>
    <comment ref="A109" authorId="0">
      <text>
        <r>
          <rPr>
            <b/>
            <sz val="8"/>
            <rFont val="Tahoma"/>
            <family val="2"/>
          </rPr>
          <t>Mařík Miloš:</t>
        </r>
        <r>
          <rPr>
            <sz val="8"/>
            <rFont val="Tahoma"/>
            <family val="2"/>
          </rPr>
          <t xml:space="preserve">
Nakoupené dluhopisy bude podnik držet až do splanosti.</t>
        </r>
      </text>
    </comment>
    <comment ref="A110" authorId="0">
      <text>
        <r>
          <rPr>
            <b/>
            <sz val="8"/>
            <rFont val="Tahoma"/>
            <family val="2"/>
          </rPr>
          <t>Mařík Miloš:</t>
        </r>
        <r>
          <rPr>
            <sz val="8"/>
            <rFont val="Tahoma"/>
            <family val="2"/>
          </rPr>
          <t xml:space="preserve">
Plůjčka jinému podniku bude postupně splácena</t>
        </r>
      </text>
    </comment>
    <comment ref="A100" authorId="0">
      <text>
        <r>
          <rPr>
            <b/>
            <sz val="8"/>
            <rFont val="Tahoma"/>
            <family val="2"/>
          </rPr>
          <t>Mařík Miloš:</t>
        </r>
        <r>
          <rPr>
            <sz val="8"/>
            <rFont val="Tahoma"/>
            <family val="2"/>
          </rPr>
          <t xml:space="preserve">
Kontrola - musí platit vztah:
DM ke konci roku = DM k začátku roku - Odpisy + Investice do nutného i nenutného majetku - Zůstatková cena prodaného DM.</t>
        </r>
      </text>
    </comment>
    <comment ref="A112" authorId="0">
      <text>
        <r>
          <rPr>
            <b/>
            <sz val="8"/>
            <rFont val="Tahoma"/>
            <family val="2"/>
          </rPr>
          <t>Mařík Miloš:</t>
        </r>
        <r>
          <rPr>
            <sz val="8"/>
            <rFont val="Tahoma"/>
            <family val="2"/>
          </rPr>
          <t xml:space="preserve">
Jednotlivé položky převzaty z prognózy generátorů hodnoty (část Provozně nutný pracovní kapitál)</t>
        </r>
      </text>
    </comment>
    <comment ref="A115" authorId="0">
      <text>
        <r>
          <rPr>
            <b/>
            <sz val="8"/>
            <rFont val="Tahoma"/>
            <family val="2"/>
          </rPr>
          <t>Mařík Miloš:</t>
        </r>
        <r>
          <rPr>
            <sz val="8"/>
            <rFont val="Tahoma"/>
            <family val="2"/>
          </rPr>
          <t xml:space="preserve">
Jednotlivé položky převzaty z prognózy generátorů hodnoty (část Provozně nutný pracovní kapitál)</t>
        </r>
      </text>
    </comment>
    <comment ref="A135" authorId="0">
      <text>
        <r>
          <rPr>
            <b/>
            <sz val="8"/>
            <rFont val="Tahoma"/>
            <family val="2"/>
          </rPr>
          <t>Mařík Miloš:</t>
        </r>
        <r>
          <rPr>
            <sz val="8"/>
            <rFont val="Tahoma"/>
            <family val="2"/>
          </rPr>
          <t xml:space="preserve">
Jednotlivé položky převzaty z prognózy generátorů hodnoty (část Provozně nutný pracovní kapitál)</t>
        </r>
      </text>
    </comment>
    <comment ref="A95" authorId="0">
      <text>
        <r>
          <rPr>
            <b/>
            <sz val="8"/>
            <rFont val="Tahoma"/>
            <family val="2"/>
          </rPr>
          <t>Mařík Miloš:</t>
        </r>
        <r>
          <rPr>
            <sz val="8"/>
            <rFont val="Tahoma"/>
            <family val="2"/>
          </rPr>
          <t xml:space="preserve">
Stav peněz na začátku roku + Peněžní tok celkem</t>
        </r>
      </text>
    </comment>
    <comment ref="A117" authorId="0">
      <text>
        <r>
          <rPr>
            <b/>
            <sz val="8"/>
            <rFont val="Tahoma"/>
            <family val="2"/>
          </rPr>
          <t>Mařík Miloš:</t>
        </r>
        <r>
          <rPr>
            <sz val="8"/>
            <rFont val="Tahoma"/>
            <family val="2"/>
          </rPr>
          <t xml:space="preserve">
Převzato z výkazu peněžních toků</t>
        </r>
      </text>
    </comment>
    <comment ref="A118" authorId="0">
      <text>
        <r>
          <rPr>
            <b/>
            <sz val="8"/>
            <rFont val="Tahoma"/>
            <family val="2"/>
          </rPr>
          <t>Mařík Miloš:</t>
        </r>
        <r>
          <rPr>
            <sz val="8"/>
            <rFont val="Tahoma"/>
            <family val="2"/>
          </rPr>
          <t xml:space="preserve">
Převzato z prognózy generátorů hodnoty (potřebné peníze byly dopočteně pomocí stanoveného limitu ukazatele likvidity)</t>
        </r>
      </text>
    </comment>
    <comment ref="A119" authorId="0">
      <text>
        <r>
          <rPr>
            <b/>
            <sz val="8"/>
            <rFont val="Tahoma"/>
            <family val="2"/>
          </rPr>
          <t>Mařík Miloš:</t>
        </r>
        <r>
          <rPr>
            <sz val="8"/>
            <rFont val="Tahoma"/>
            <family val="2"/>
          </rPr>
          <t xml:space="preserve">
Peníze celkem - provozně potřebné peníze</t>
        </r>
      </text>
    </comment>
    <comment ref="A120" authorId="0">
      <text>
        <r>
          <rPr>
            <b/>
            <sz val="8"/>
            <rFont val="Tahoma"/>
            <family val="2"/>
          </rPr>
          <t>Mařík Miloš:</t>
        </r>
        <r>
          <rPr>
            <sz val="8"/>
            <rFont val="Tahoma"/>
            <family val="2"/>
          </rPr>
          <t xml:space="preserve">
Ponecháno na úrovni posledního roku. Zároveň musí odpovídat prognóza pracovního kapitálu v rámci generátorů hodnoty.</t>
        </r>
      </text>
    </comment>
    <comment ref="A143" authorId="0">
      <text>
        <r>
          <rPr>
            <b/>
            <sz val="8"/>
            <rFont val="Tahoma"/>
            <family val="2"/>
          </rPr>
          <t>Mařík Miloš:</t>
        </r>
        <r>
          <rPr>
            <sz val="8"/>
            <rFont val="Tahoma"/>
            <family val="2"/>
          </rPr>
          <t xml:space="preserve">
Ponecháno na úrovni posledního roku. Zároveň musí odpovídat prognóza pracovního kapitálu v rámci generátorů hodnoty.</t>
        </r>
      </text>
    </comment>
    <comment ref="A125" authorId="0">
      <text>
        <r>
          <rPr>
            <b/>
            <sz val="8"/>
            <rFont val="Tahoma"/>
            <family val="2"/>
          </rPr>
          <t>Mařík Miloš:</t>
        </r>
        <r>
          <rPr>
            <sz val="8"/>
            <rFont val="Tahoma"/>
            <family val="2"/>
          </rPr>
          <t xml:space="preserve">
Ponecháno na úrovni posledního roku. Změna základního kapitálu musí odpovídat tomu, co bylo plánováno v rámci finančního cash flow.</t>
        </r>
      </text>
    </comment>
    <comment ref="A126" authorId="0">
      <text>
        <r>
          <rPr>
            <b/>
            <sz val="8"/>
            <rFont val="Tahoma"/>
            <family val="2"/>
          </rPr>
          <t>Mařík Miloš:</t>
        </r>
        <r>
          <rPr>
            <sz val="8"/>
            <rFont val="Tahoma"/>
            <family val="2"/>
          </rPr>
          <t xml:space="preserve">
Ponecháno na úrovni posledního roku. Změna kapitálových fondů musí odpovídat tomu, co bylo plánováno v rámci finančního cash flow.</t>
        </r>
      </text>
    </comment>
    <comment ref="A129" authorId="0">
      <text>
        <r>
          <rPr>
            <b/>
            <sz val="8"/>
            <rFont val="Tahoma"/>
            <family val="2"/>
          </rPr>
          <t>Mařík Miloš:</t>
        </r>
        <r>
          <rPr>
            <sz val="8"/>
            <rFont val="Tahoma"/>
            <family val="2"/>
          </rPr>
          <t xml:space="preserve">
VH minulých let v předchozím roce + VH běžného úč. období v minulém roce - Příděly do fondů ze zisku v aktuálním roce - Podíly na zisku (dividendy) vyplacené v aktuálním roce</t>
        </r>
      </text>
    </comment>
    <comment ref="A130" authorId="0">
      <text>
        <r>
          <rPr>
            <b/>
            <sz val="8"/>
            <rFont val="Tahoma"/>
            <family val="2"/>
          </rPr>
          <t>Mařík Miloš:</t>
        </r>
        <r>
          <rPr>
            <sz val="8"/>
            <rFont val="Tahoma"/>
            <family val="2"/>
          </rPr>
          <t xml:space="preserve">
Převzat VH po dani z výsledovky</t>
        </r>
      </text>
    </comment>
    <comment ref="A132" authorId="0">
      <text>
        <r>
          <rPr>
            <b/>
            <sz val="8"/>
            <rFont val="Tahoma"/>
            <family val="2"/>
          </rPr>
          <t>Mařík Miloš:</t>
        </r>
        <r>
          <rPr>
            <sz val="8"/>
            <rFont val="Tahoma"/>
            <family val="2"/>
          </rPr>
          <t xml:space="preserve">
Musí odpovídat  změně rezerv plánované ve výsledovce a výkazu peněžních toků
Poznámka: Nákladové rezervy u podniku UNIPO nebudeme pro účely ocenění považovat za reálný závazek vůči třetí osobě</t>
        </r>
      </text>
    </comment>
    <comment ref="A134" authorId="0">
      <text>
        <r>
          <rPr>
            <b/>
            <sz val="8"/>
            <rFont val="Tahoma"/>
            <family val="2"/>
          </rPr>
          <t>Mařík Miloš:</t>
        </r>
        <r>
          <rPr>
            <sz val="8"/>
            <rFont val="Tahoma"/>
            <family val="2"/>
          </rPr>
          <t xml:space="preserve">
Musí odpovídat změně plánované ve výkazu peněžních toků v rámci finančního cash flow</t>
        </r>
      </text>
    </comment>
    <comment ref="A140" authorId="0">
      <text>
        <r>
          <rPr>
            <b/>
            <sz val="8"/>
            <rFont val="Tahoma"/>
            <family val="2"/>
          </rPr>
          <t>Mařík Miloš:</t>
        </r>
        <r>
          <rPr>
            <sz val="8"/>
            <rFont val="Tahoma"/>
            <family val="2"/>
          </rPr>
          <t xml:space="preserve">
Musí odpovídat změně plánované ve výkazu peněžních toků v rámci finančního cash flow</t>
        </r>
      </text>
    </comment>
  </commentList>
</comments>
</file>

<file path=xl/comments22.xml><?xml version="1.0" encoding="utf-8"?>
<comments xmlns="http://schemas.openxmlformats.org/spreadsheetml/2006/main">
  <authors>
    <author>Mařík Miloš</author>
  </authors>
  <commentList>
    <comment ref="A6" authorId="0">
      <text>
        <r>
          <rPr>
            <b/>
            <sz val="8"/>
            <rFont val="Tahoma"/>
            <family val="2"/>
          </rPr>
          <t>Mařík Miloš:</t>
        </r>
        <r>
          <rPr>
            <sz val="8"/>
            <rFont val="Tahoma"/>
            <family val="2"/>
          </rPr>
          <t xml:space="preserve">
Nákladové rezervy u podniku UNIPO nebudeme pro účely ocenění považovat za reálný závazek vůči třetí osobě</t>
        </r>
      </text>
    </comment>
  </commentList>
</comments>
</file>

<file path=xl/comments23.xml><?xml version="1.0" encoding="utf-8"?>
<comments xmlns="http://schemas.openxmlformats.org/spreadsheetml/2006/main">
  <authors>
    <author>Mařík Miloš</author>
  </authors>
  <commentList>
    <comment ref="A24" authorId="0">
      <text>
        <r>
          <rPr>
            <b/>
            <sz val="8"/>
            <rFont val="Tahoma"/>
            <family val="2"/>
          </rPr>
          <t>Mařík Miloš:</t>
        </r>
        <r>
          <rPr>
            <sz val="8"/>
            <rFont val="Tahoma"/>
            <family val="2"/>
          </rPr>
          <t xml:space="preserve">
KPVH / Investovaný kapitál provozně nutný k počátku roku</t>
        </r>
      </text>
    </comment>
    <comment ref="A29" authorId="0">
      <text>
        <r>
          <rPr>
            <b/>
            <sz val="8"/>
            <rFont val="Tahoma"/>
            <family val="2"/>
          </rPr>
          <t>Mařík Miloš:</t>
        </r>
        <r>
          <rPr>
            <sz val="8"/>
            <rFont val="Tahoma"/>
            <family val="2"/>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List>
</comments>
</file>

<file path=xl/comments25.xml><?xml version="1.0" encoding="utf-8"?>
<comments xmlns="http://schemas.openxmlformats.org/spreadsheetml/2006/main">
  <authors>
    <author>Mařík Miloš</author>
  </authors>
  <commentList>
    <comment ref="A24" authorId="0">
      <text>
        <r>
          <rPr>
            <b/>
            <sz val="8"/>
            <rFont val="Tahoma"/>
            <family val="2"/>
          </rPr>
          <t>Mařík Miloš:</t>
        </r>
        <r>
          <rPr>
            <sz val="8"/>
            <rFont val="Tahoma"/>
            <family val="2"/>
          </rPr>
          <t xml:space="preserve">
Dlouhodobá prognóza daňové sazby</t>
        </r>
      </text>
    </comment>
  </commentList>
</comments>
</file>

<file path=xl/comments26.xml><?xml version="1.0" encoding="utf-8"?>
<comments xmlns="http://schemas.openxmlformats.org/spreadsheetml/2006/main">
  <authors>
    <author>Mařík Miloš</author>
  </authors>
  <commentList>
    <comment ref="E48" authorId="0">
      <text>
        <r>
          <rPr>
            <b/>
            <sz val="8"/>
            <rFont val="Tahoma"/>
            <family val="2"/>
          </rPr>
          <t>Mařík Miloš:</t>
        </r>
        <r>
          <rPr>
            <sz val="8"/>
            <rFont val="Tahoma"/>
            <family val="2"/>
          </rPr>
          <t xml:space="preserve">
Úrokovou míru je třeba převést na desetinný tvar a počet měsíců je třeba přepočítat na roky</t>
        </r>
      </text>
    </comment>
  </commentList>
</comments>
</file>

<file path=xl/comments8.xml><?xml version="1.0" encoding="utf-8"?>
<comments xmlns="http://schemas.openxmlformats.org/spreadsheetml/2006/main">
  <authors>
    <author>Mařík Miloš</author>
  </authors>
  <commentList>
    <comment ref="B35" authorId="0">
      <text>
        <r>
          <rPr>
            <b/>
            <sz val="8"/>
            <rFont val="Tahoma"/>
            <family val="2"/>
          </rPr>
          <t>Mařík Miloš:</t>
        </r>
        <r>
          <rPr>
            <sz val="8"/>
            <rFont val="Tahoma"/>
            <family val="2"/>
          </rPr>
          <t xml:space="preserve">
Pro účely tohoto ocenění nebudeme nákladové rezervy podniku UNIPO považovat za reálný závazek vůči třetí osobě.</t>
        </r>
      </text>
    </comment>
  </commentList>
</comments>
</file>

<file path=xl/sharedStrings.xml><?xml version="1.0" encoding="utf-8"?>
<sst xmlns="http://schemas.openxmlformats.org/spreadsheetml/2006/main" count="1511" uniqueCount="868">
  <si>
    <t>AKTIVA CELKEM</t>
  </si>
  <si>
    <t>A.</t>
  </si>
  <si>
    <t>B.</t>
  </si>
  <si>
    <t>B.I.</t>
  </si>
  <si>
    <t>Dlouhodobý nehmotný majetek</t>
  </si>
  <si>
    <t>B.II.</t>
  </si>
  <si>
    <t>Dlouhodobý hmotný majetek</t>
  </si>
  <si>
    <t>B.II.1.</t>
  </si>
  <si>
    <t>Pozemky</t>
  </si>
  <si>
    <t>B.II.2.</t>
  </si>
  <si>
    <t>Stavby</t>
  </si>
  <si>
    <t>B.II.3.</t>
  </si>
  <si>
    <t>B.II.6.</t>
  </si>
  <si>
    <t>B.III.</t>
  </si>
  <si>
    <t>Dlouhodobý finanční majetek</t>
  </si>
  <si>
    <t>B.III.1.</t>
  </si>
  <si>
    <t>B.III.3.</t>
  </si>
  <si>
    <t>Ostatní dlouhodobé cenné papíry a podíly</t>
  </si>
  <si>
    <t>B.III.5.</t>
  </si>
  <si>
    <t>C.</t>
  </si>
  <si>
    <t>Oběžná aktiva</t>
  </si>
  <si>
    <t>C.I.</t>
  </si>
  <si>
    <t>Zásoby</t>
  </si>
  <si>
    <t>C.I.1.</t>
  </si>
  <si>
    <t>Materiál</t>
  </si>
  <si>
    <t>C.I.5.</t>
  </si>
  <si>
    <t>Zboží</t>
  </si>
  <si>
    <t>C.II.</t>
  </si>
  <si>
    <t>Dlouhodobé pohledávky</t>
  </si>
  <si>
    <t>C.III.</t>
  </si>
  <si>
    <t>Krátkodobé pohledávky</t>
  </si>
  <si>
    <t>C.III.1.</t>
  </si>
  <si>
    <t>C.IV.</t>
  </si>
  <si>
    <t>C.IV.3.</t>
  </si>
  <si>
    <t>Krátkodobý finanční majetek</t>
  </si>
  <si>
    <t>D.</t>
  </si>
  <si>
    <t>Časové rozlišení</t>
  </si>
  <si>
    <t>PASIVA CELKEM</t>
  </si>
  <si>
    <t>Vlastní kapitál</t>
  </si>
  <si>
    <t>A.I.</t>
  </si>
  <si>
    <t>Základní kapitál</t>
  </si>
  <si>
    <t>A.II.</t>
  </si>
  <si>
    <t>Kapitálové fondy</t>
  </si>
  <si>
    <t>A.III.</t>
  </si>
  <si>
    <t>Fondy ze zisku</t>
  </si>
  <si>
    <t>A.III.1.</t>
  </si>
  <si>
    <t>Zákonný rezervní fond</t>
  </si>
  <si>
    <t>A.IV.</t>
  </si>
  <si>
    <t>Výsledek hospodaření minulých let</t>
  </si>
  <si>
    <t>A.V.</t>
  </si>
  <si>
    <t>Cizí zdroje</t>
  </si>
  <si>
    <t>Rezervy</t>
  </si>
  <si>
    <t>Dlouhodobé závazky</t>
  </si>
  <si>
    <t>Krátkodobé závazky</t>
  </si>
  <si>
    <t>Závazky k zaměstnancům</t>
  </si>
  <si>
    <t>Stát - daňové závazky a dotace</t>
  </si>
  <si>
    <t>B.III.6.</t>
  </si>
  <si>
    <t>B.III.7.</t>
  </si>
  <si>
    <t>B.IV.</t>
  </si>
  <si>
    <t>Bankovní úvěry a výpomoci</t>
  </si>
  <si>
    <t>B.IV.1.</t>
  </si>
  <si>
    <t>Bankovní úvěry dlouhodobé</t>
  </si>
  <si>
    <t>B.IV.2.</t>
  </si>
  <si>
    <t>I.</t>
  </si>
  <si>
    <t>Tržby za prodej zboží</t>
  </si>
  <si>
    <t>Náklady vynaložené na prodané zboží</t>
  </si>
  <si>
    <t>+</t>
  </si>
  <si>
    <t>Obchodní marže</t>
  </si>
  <si>
    <t>B</t>
  </si>
  <si>
    <t>Výkonová spotřeba</t>
  </si>
  <si>
    <t>Přidaná hodnota</t>
  </si>
  <si>
    <t>Osobní náklady</t>
  </si>
  <si>
    <t>C.1.</t>
  </si>
  <si>
    <t>Mzdové náklady</t>
  </si>
  <si>
    <t>C.3.</t>
  </si>
  <si>
    <t>Daně a poplatky</t>
  </si>
  <si>
    <t>E.</t>
  </si>
  <si>
    <t>III.</t>
  </si>
  <si>
    <t>F.</t>
  </si>
  <si>
    <t>G.</t>
  </si>
  <si>
    <t>VII.</t>
  </si>
  <si>
    <t>*</t>
  </si>
  <si>
    <t>Provozní výsledek hospodaření</t>
  </si>
  <si>
    <t>Výnosy z dlouhodobého finančního majetku</t>
  </si>
  <si>
    <t>X.</t>
  </si>
  <si>
    <t>XIII.</t>
  </si>
  <si>
    <t>Výnosové úroky</t>
  </si>
  <si>
    <t>N.</t>
  </si>
  <si>
    <t>Nákladové úroky</t>
  </si>
  <si>
    <t>Finanční výsledek hospodaření</t>
  </si>
  <si>
    <t>R.</t>
  </si>
  <si>
    <t>Daň z příjmů za běžnou činnost</t>
  </si>
  <si>
    <t>**</t>
  </si>
  <si>
    <t>Výsledek hospodaření za běžnou činnost</t>
  </si>
  <si>
    <t>Mimořádné výnosy</t>
  </si>
  <si>
    <t>S.</t>
  </si>
  <si>
    <t>Mimořádné náklady</t>
  </si>
  <si>
    <t>Daň z příjmů z mimořádné činnosti</t>
  </si>
  <si>
    <t>Mimořádný výsledek hospodaření</t>
  </si>
  <si>
    <t>***</t>
  </si>
  <si>
    <t>Stav peněžních prostředků na počátku období</t>
  </si>
  <si>
    <t>Z</t>
  </si>
  <si>
    <t>A</t>
  </si>
  <si>
    <t>A.1</t>
  </si>
  <si>
    <t>Úpravy o nepeněžní operace</t>
  </si>
  <si>
    <t>A.1.1</t>
  </si>
  <si>
    <t>Odpisy stálých aktiv</t>
  </si>
  <si>
    <t>A.1.3</t>
  </si>
  <si>
    <t>Změna zůstatků rezerv</t>
  </si>
  <si>
    <t>Zisk (ztráta) z prodeje stálých aktiv</t>
  </si>
  <si>
    <t>A.2</t>
  </si>
  <si>
    <t>Úpravy oběžných aktiv</t>
  </si>
  <si>
    <t>A.2.1</t>
  </si>
  <si>
    <t>Změna stavu pohledávek</t>
  </si>
  <si>
    <t>A.2.2</t>
  </si>
  <si>
    <t>A.2.3</t>
  </si>
  <si>
    <t>Změna stavu zásob</t>
  </si>
  <si>
    <t>A.2.4</t>
  </si>
  <si>
    <t>Peněžní tok z provozní činnosti celkem</t>
  </si>
  <si>
    <t>INVESTIČNÍ ČINNOST</t>
  </si>
  <si>
    <t>B.1</t>
  </si>
  <si>
    <t>B.1.1</t>
  </si>
  <si>
    <t>B.1.3</t>
  </si>
  <si>
    <t>Nabytí dlouhodobého finančního majetku</t>
  </si>
  <si>
    <t>B.2</t>
  </si>
  <si>
    <t>Peněžní tok z investiční činnosti celkem</t>
  </si>
  <si>
    <t>C</t>
  </si>
  <si>
    <t>FINANČNÍ ČINNOST</t>
  </si>
  <si>
    <t>C.1</t>
  </si>
  <si>
    <t>Změna stavu dlouhodobých závazků</t>
  </si>
  <si>
    <t>C.1.1</t>
  </si>
  <si>
    <t>C.1.3</t>
  </si>
  <si>
    <t>C.2</t>
  </si>
  <si>
    <t>Zvýšení a snížení vlastního kapitálu z vybr. operací</t>
  </si>
  <si>
    <t>C.2.1</t>
  </si>
  <si>
    <t>Upsání cenných papírů a účastí (zvýš. zákl. kap.)</t>
  </si>
  <si>
    <t>Peněžní tok z finanční činnosti celkem</t>
  </si>
  <si>
    <t>PENĚŽNÍ TOK CELKEM</t>
  </si>
  <si>
    <t>Stav peněžních prostředků na konci období</t>
  </si>
  <si>
    <t>Nabytí DHM a DNM</t>
  </si>
  <si>
    <t>Změna dlouhodobých úvěrů</t>
  </si>
  <si>
    <t>Změna dluhopisů</t>
  </si>
  <si>
    <t>PENĚŽNÍ TOK Z BĚŽNÉ A MIMOŘÁDNÉ ČINNOSTI</t>
  </si>
  <si>
    <t>Rok</t>
  </si>
  <si>
    <t>Míra inflace</t>
  </si>
  <si>
    <t>VÝSLEDEK</t>
  </si>
  <si>
    <t>Regresní statistika</t>
  </si>
  <si>
    <t>Násobné R</t>
  </si>
  <si>
    <t>Hodnota spolehlivosti R</t>
  </si>
  <si>
    <t>Nastavená hodnota spolehlivosti R</t>
  </si>
  <si>
    <t>Chyba stř. hodnoty</t>
  </si>
  <si>
    <t>Pozorování</t>
  </si>
  <si>
    <t>ANOVA</t>
  </si>
  <si>
    <t>Regrese</t>
  </si>
  <si>
    <t>Rezidua</t>
  </si>
  <si>
    <t>Celkem</t>
  </si>
  <si>
    <t>Hranice</t>
  </si>
  <si>
    <t>Rozdíl</t>
  </si>
  <si>
    <t>SS</t>
  </si>
  <si>
    <t>MS</t>
  </si>
  <si>
    <t>F</t>
  </si>
  <si>
    <t>Významnost F</t>
  </si>
  <si>
    <t>Koeficienty</t>
  </si>
  <si>
    <t>t stat</t>
  </si>
  <si>
    <t>Hodnota P</t>
  </si>
  <si>
    <t>Dolní 95%</t>
  </si>
  <si>
    <t>Horní 95%</t>
  </si>
  <si>
    <t>Dolní 95,0%</t>
  </si>
  <si>
    <t>Horní 95,0%</t>
  </si>
  <si>
    <t>Tempo</t>
  </si>
  <si>
    <t>Tržby UNIPO</t>
  </si>
  <si>
    <t>Relevantní trh</t>
  </si>
  <si>
    <t>Tržní podíl UNIPO</t>
  </si>
  <si>
    <t>Jiný dlouhodobý finanční majetek</t>
  </si>
  <si>
    <t xml:space="preserve">Samostatné movité věci </t>
  </si>
  <si>
    <t>C.IV.1+2.</t>
  </si>
  <si>
    <t>Peníze a účty v bankách</t>
  </si>
  <si>
    <t>Rentabilita</t>
  </si>
  <si>
    <t>Rentabilita vlastního kapitálu po dani</t>
  </si>
  <si>
    <t>Rentabilita tržeb po dani</t>
  </si>
  <si>
    <t>Likvidita</t>
  </si>
  <si>
    <t>Okamžitá likvidita</t>
  </si>
  <si>
    <t>Pohotová likvidita</t>
  </si>
  <si>
    <t>Běžná likvidita</t>
  </si>
  <si>
    <t>Aktivita</t>
  </si>
  <si>
    <t>Doba obratu zásob</t>
  </si>
  <si>
    <t>Doba obratu pohledávek</t>
  </si>
  <si>
    <t>Zadluženost</t>
  </si>
  <si>
    <t>Doba obratu obchodních závazků</t>
  </si>
  <si>
    <t>Úrokové krytí</t>
  </si>
  <si>
    <t>Průměrná doba splácení dluhů</t>
  </si>
  <si>
    <t>A.1.2</t>
  </si>
  <si>
    <t>C.1.2</t>
  </si>
  <si>
    <t>C.2.2</t>
  </si>
  <si>
    <t>Průměr</t>
  </si>
  <si>
    <t>Rentabilita tržeb z provozního zisku</t>
  </si>
  <si>
    <t>Růst trhu</t>
  </si>
  <si>
    <t>Tempo růstu tržeb UNIPO</t>
  </si>
  <si>
    <t>Rentabilita tržeb z provozního cash flow</t>
  </si>
  <si>
    <t>Podíl vlastního kapitálu na celkovém</t>
  </si>
  <si>
    <t>Struktura aktiv</t>
  </si>
  <si>
    <t>Struktura pasiv</t>
  </si>
  <si>
    <r>
      <t>Krátkodobé pohledávky</t>
    </r>
    <r>
      <rPr>
        <sz val="10"/>
        <rFont val="Arial CE"/>
        <family val="2"/>
      </rPr>
      <t xml:space="preserve"> (obchodní)</t>
    </r>
  </si>
  <si>
    <r>
      <t xml:space="preserve">Dlouhodobé závazky </t>
    </r>
    <r>
      <rPr>
        <sz val="10"/>
        <rFont val="Arial CE"/>
        <family val="2"/>
      </rPr>
      <t>(dluhopisy)</t>
    </r>
  </si>
  <si>
    <r>
      <t xml:space="preserve">Krátkodobé pohledávky </t>
    </r>
    <r>
      <rPr>
        <sz val="10"/>
        <rFont val="Arial CE"/>
        <family val="2"/>
      </rPr>
      <t>(obchodní)</t>
    </r>
  </si>
  <si>
    <t>Tempa růstu aktivních položek</t>
  </si>
  <si>
    <t>Tempa růstu pasivních položek</t>
  </si>
  <si>
    <t xml:space="preserve">Odpisy </t>
  </si>
  <si>
    <t>Položka</t>
  </si>
  <si>
    <t>Rentabilita celkového kapitálu z EBIT</t>
  </si>
  <si>
    <t>Tempo růstu tržeb</t>
  </si>
  <si>
    <t>g</t>
  </si>
  <si>
    <t>Náročnost růstu tržeb na:</t>
  </si>
  <si>
    <t xml:space="preserve">    - růst pracovního kapitálu</t>
  </si>
  <si>
    <t xml:space="preserve">    - růst dlouhodobého majetku</t>
  </si>
  <si>
    <t>Kalkulovaná úroková míra</t>
  </si>
  <si>
    <t>Pesimistická</t>
  </si>
  <si>
    <t>Střední</t>
  </si>
  <si>
    <t>Optimistická</t>
  </si>
  <si>
    <t>Tržby</t>
  </si>
  <si>
    <t>1) Tržby</t>
  </si>
  <si>
    <t>Tempo růstu</t>
  </si>
  <si>
    <t>Odpisy</t>
  </si>
  <si>
    <t>Zásoby celkem</t>
  </si>
  <si>
    <t xml:space="preserve">      z toho  materiál</t>
  </si>
  <si>
    <t xml:space="preserve">                 zboží</t>
  </si>
  <si>
    <t>Pohledávky za odběrateli</t>
  </si>
  <si>
    <t>Krátkodobé závazky celkem</t>
  </si>
  <si>
    <t xml:space="preserve">                  závazky k zaměstnancům</t>
  </si>
  <si>
    <t xml:space="preserve">                  závazky ze soc. zabezpečení</t>
  </si>
  <si>
    <t xml:space="preserve">                  stát - daňové závazky a dotace</t>
  </si>
  <si>
    <t>Investice netto</t>
  </si>
  <si>
    <t xml:space="preserve">  z toho Mzdové náklady</t>
  </si>
  <si>
    <t xml:space="preserve">            Náklady na sociální zabezpečení</t>
  </si>
  <si>
    <t xml:space="preserve">       z toho závazky z obchodního styku</t>
  </si>
  <si>
    <t>Upravený pracovní kapitál</t>
  </si>
  <si>
    <t>Pohledávky</t>
  </si>
  <si>
    <t>Peněžní prostředky provozně nutné</t>
  </si>
  <si>
    <t>Provozně nutné peníze</t>
  </si>
  <si>
    <t>Investice brutto</t>
  </si>
  <si>
    <t>Nehmotný majetek</t>
  </si>
  <si>
    <t>Samostatné movité věci</t>
  </si>
  <si>
    <t>Stav majetku ke konci roku</t>
  </si>
  <si>
    <t>Majetek</t>
  </si>
  <si>
    <t>Odhad podle minulého koeficientu náročnosti:</t>
  </si>
  <si>
    <t>Odhad podle koeficientu náročnosti u podobných podniků:</t>
  </si>
  <si>
    <t>Minulý koeficent náročnosti</t>
  </si>
  <si>
    <t>Obvyklý koeficent náročnosti</t>
  </si>
  <si>
    <t>Odhad podle názoru podnikového managementu:</t>
  </si>
  <si>
    <t>Výsledný odhad investic (průměr z obvyklých investic a odhadu managementu):</t>
  </si>
  <si>
    <t>Tis. Kč</t>
  </si>
  <si>
    <t xml:space="preserve">             - zůstatková hodnota</t>
  </si>
  <si>
    <t>Celkem  - odpisy</t>
  </si>
  <si>
    <t>Původní - odpisy</t>
  </si>
  <si>
    <t>Pozemky - zůstatková hodnota</t>
  </si>
  <si>
    <t>Zůstatková hodnota prodaného zařízení</t>
  </si>
  <si>
    <t>Finanční analýza plánu</t>
  </si>
  <si>
    <t>Zůstatková hodnota</t>
  </si>
  <si>
    <t>Koeficient náročnosti růstu tržeb na růst prac. kap.</t>
  </si>
  <si>
    <t>Výsledný koeficient náročnosti růstu tržeb na investice:</t>
  </si>
  <si>
    <t>mil. Kč</t>
  </si>
  <si>
    <t>Zisková marže po odpisech</t>
  </si>
  <si>
    <t>Zisková marže před odpisy</t>
  </si>
  <si>
    <t>Podíl odpisů na tržbách</t>
  </si>
  <si>
    <t>Analýza citlivosti:</t>
  </si>
  <si>
    <t>A K T I V A</t>
  </si>
  <si>
    <t>P A S I V A</t>
  </si>
  <si>
    <t>Průměrná doba splácení dluhů (roky)</t>
  </si>
  <si>
    <t>Doba obratu pohledávek (dny)</t>
  </si>
  <si>
    <t>Doba obratu obchodních závazků (dny)</t>
  </si>
  <si>
    <t>a) Přepracovaný splátkový kalendář:</t>
  </si>
  <si>
    <t>Datum splacení</t>
  </si>
  <si>
    <t>Počet měsíců od data ocenění</t>
  </si>
  <si>
    <r>
      <t>Částka</t>
    </r>
    <r>
      <rPr>
        <sz val="10"/>
        <rFont val="Arial CE"/>
        <family val="2"/>
      </rPr>
      <t xml:space="preserve">       (tis. Kč)</t>
    </r>
  </si>
  <si>
    <t>b) Zástava:</t>
  </si>
  <si>
    <t>Prodejní cena nemovitosti (tis. Kč)</t>
  </si>
  <si>
    <t>Část pohledávky, která bude uhrazena z prodeje zástavy (tis. Kč):</t>
  </si>
  <si>
    <t>1. Rozdělení pohledávky do kategorií</t>
  </si>
  <si>
    <t>2. Stanovení diskontní míry (podle metodiky J. Šantrůčka)</t>
  </si>
  <si>
    <t>Riziko pohledávky:</t>
  </si>
  <si>
    <t>V:</t>
  </si>
  <si>
    <t xml:space="preserve">             Riziková přirážka pohledávky:</t>
  </si>
  <si>
    <t xml:space="preserve">             Diskontní míra:</t>
  </si>
  <si>
    <t>b) Příjem z prodeje zástavy:</t>
  </si>
  <si>
    <t>3. Současná hodnota plateb</t>
  </si>
  <si>
    <t>Diskontovaná částka</t>
  </si>
  <si>
    <t>tis. Kč</t>
  </si>
  <si>
    <t>Obvyklé náklady kapitálu pro investice do odvětví dlužníka:</t>
  </si>
  <si>
    <t xml:space="preserve">             t (počet měsíců od data ocenění)</t>
  </si>
  <si>
    <t>Počet let zbývajících do splatnosti:</t>
  </si>
  <si>
    <t>Ocenění dluhopisů:</t>
  </si>
  <si>
    <t>Investovaný provozně nutný kapitál</t>
  </si>
  <si>
    <t>Investovaný kapitál celkem</t>
  </si>
  <si>
    <t>Provozně potřebná likvidita</t>
  </si>
  <si>
    <t>Provozně potřebný finanční majetek</t>
  </si>
  <si>
    <t>Provozně nepotřebný finanční majetek</t>
  </si>
  <si>
    <t>31. 12.</t>
  </si>
  <si>
    <t>Volné cash flow pro 1. fázi</t>
  </si>
  <si>
    <t>Úpravy o nepeněžní operace (změna rezerv)</t>
  </si>
  <si>
    <t>FCFF</t>
  </si>
  <si>
    <t>Odúročitel pro diskontní míru:</t>
  </si>
  <si>
    <t>Pokračující hodnota</t>
  </si>
  <si>
    <t xml:space="preserve">    - investice netto celkem</t>
  </si>
  <si>
    <t>Rentabilita investic netto</t>
  </si>
  <si>
    <t>Podklady pro odhad druhé fáze</t>
  </si>
  <si>
    <t>Míra investic netto</t>
  </si>
  <si>
    <t>Parametrický vzorec</t>
  </si>
  <si>
    <t>Investice do provozně nutného prac. kapitálu</t>
  </si>
  <si>
    <t>Současná hodnota 1. fáze</t>
  </si>
  <si>
    <t>Současná hodnota 2. fáze</t>
  </si>
  <si>
    <t xml:space="preserve"> tis. Kč</t>
  </si>
  <si>
    <t>Provozní hodnota brutto</t>
  </si>
  <si>
    <t>Úročený cizí kapitál k datu ocenění</t>
  </si>
  <si>
    <t>Provozní hodnota netto</t>
  </si>
  <si>
    <t>Neprovozní majetek k datu ocenění</t>
  </si>
  <si>
    <t>Vstupní veličiny</t>
  </si>
  <si>
    <t>NOPAT</t>
  </si>
  <si>
    <t>WACC</t>
  </si>
  <si>
    <t>EVA</t>
  </si>
  <si>
    <t>Diskontovaná EVA</t>
  </si>
  <si>
    <t>MVA</t>
  </si>
  <si>
    <t>NOA k datu ocenění</t>
  </si>
  <si>
    <t>Váha</t>
  </si>
  <si>
    <t>Počet x váha</t>
  </si>
  <si>
    <t>OBCHODNÍ RIZIKO</t>
  </si>
  <si>
    <t>I.   Rizika oboru</t>
  </si>
  <si>
    <t>II.  Rizika trhu</t>
  </si>
  <si>
    <t>III. Rizika z konkurence</t>
  </si>
  <si>
    <t>IV. Management</t>
  </si>
  <si>
    <t>V. Výrobní proces</t>
  </si>
  <si>
    <t>VI. Specifické faktory</t>
  </si>
  <si>
    <t>FINANČNÍ RIZIKO</t>
  </si>
  <si>
    <t xml:space="preserve">Počet  kritérií </t>
  </si>
  <si>
    <t xml:space="preserve">   Poměr OR : FR</t>
  </si>
  <si>
    <t>X - stupeň rizika</t>
  </si>
  <si>
    <r>
      <t>a</t>
    </r>
    <r>
      <rPr>
        <b/>
        <vertAlign val="superscript"/>
        <sz val="12"/>
        <rFont val="Times New Roman CE"/>
        <family val="1"/>
      </rPr>
      <t>x</t>
    </r>
  </si>
  <si>
    <t>1  Nízké riziko</t>
  </si>
  <si>
    <t>2  Přiměřené riziko</t>
  </si>
  <si>
    <t>3  Zvýšené riziko</t>
  </si>
  <si>
    <t>4  Vysoké riziko</t>
  </si>
  <si>
    <t>A. OBCHODNÍ RIZIKO</t>
  </si>
  <si>
    <t>I. Rizika oboru</t>
  </si>
  <si>
    <t>Počet</t>
  </si>
  <si>
    <t>Vážený počet</t>
  </si>
  <si>
    <r>
      <t xml:space="preserve">Dílčí riziková přirážka </t>
    </r>
    <r>
      <rPr>
        <b/>
        <sz val="10"/>
        <rFont val="Times New Roman CE"/>
        <family val="1"/>
      </rPr>
      <t>(RP x vážený počet)</t>
    </r>
  </si>
  <si>
    <t>Nízké</t>
  </si>
  <si>
    <t>Přiměřené</t>
  </si>
  <si>
    <t>Zvýšené</t>
  </si>
  <si>
    <t>Vysoké</t>
  </si>
  <si>
    <t>Součet</t>
  </si>
  <si>
    <t>II. Rizika trhu</t>
  </si>
  <si>
    <t>B. FINANČNÍ RIZIKO</t>
  </si>
  <si>
    <t>Finanční rizika</t>
  </si>
  <si>
    <t>NÁKLADY VLASTNÍHO KAPITÁLU</t>
  </si>
  <si>
    <t>Bezriziková výnosová míra</t>
  </si>
  <si>
    <t xml:space="preserve">Obchodní riziko </t>
  </si>
  <si>
    <t>Finanční riziko</t>
  </si>
  <si>
    <t>Riziková prémie celkem</t>
  </si>
  <si>
    <t>Prémie za nižší likviditu</t>
  </si>
  <si>
    <t>Náklady vlastního kapitálu</t>
  </si>
  <si>
    <t>Roční tempo růstu</t>
  </si>
  <si>
    <t>Průměrné tempo růstu za minulost a plán</t>
  </si>
  <si>
    <t>Výkonová spotřeba (tis. Kč)</t>
  </si>
  <si>
    <t>Průměrné tempo růstu výk. spotř.  za minulost a plán</t>
  </si>
  <si>
    <t>Průměrná inflace</t>
  </si>
  <si>
    <t>Počet hodnocených kritérií</t>
  </si>
  <si>
    <r>
      <t xml:space="preserve">   n</t>
    </r>
    <r>
      <rPr>
        <vertAlign val="subscript"/>
        <sz val="10"/>
        <rFont val="Arial CE"/>
        <family val="2"/>
      </rPr>
      <t>vk max</t>
    </r>
  </si>
  <si>
    <r>
      <t xml:space="preserve">   Základní jednotková míra  (r</t>
    </r>
    <r>
      <rPr>
        <vertAlign val="subscript"/>
        <sz val="10"/>
        <rFont val="Arial CE"/>
        <family val="2"/>
      </rPr>
      <t>f</t>
    </r>
    <r>
      <rPr>
        <sz val="10"/>
        <rFont val="Arial CE"/>
        <family val="0"/>
      </rPr>
      <t xml:space="preserve"> / počet)</t>
    </r>
  </si>
  <si>
    <r>
      <t xml:space="preserve">RP </t>
    </r>
    <r>
      <rPr>
        <sz val="10"/>
        <rFont val="Times New Roman CE"/>
        <family val="1"/>
      </rPr>
      <t xml:space="preserve">pro 1 faktor    </t>
    </r>
    <r>
      <rPr>
        <b/>
        <sz val="10"/>
        <rFont val="Times New Roman CE"/>
        <family val="1"/>
      </rPr>
      <t xml:space="preserve">             (=z . r</t>
    </r>
    <r>
      <rPr>
        <b/>
        <vertAlign val="subscript"/>
        <sz val="10"/>
        <rFont val="Times New Roman CE"/>
        <family val="1"/>
      </rPr>
      <t>f</t>
    </r>
    <r>
      <rPr>
        <b/>
        <sz val="10"/>
        <rFont val="Times New Roman CE"/>
        <family val="1"/>
      </rPr>
      <t>/n)</t>
    </r>
  </si>
  <si>
    <r>
      <t>z</t>
    </r>
    <r>
      <rPr>
        <b/>
        <sz val="12"/>
        <rFont val="Times New Roman CE"/>
        <family val="1"/>
      </rPr>
      <t xml:space="preserve">                  </t>
    </r>
    <r>
      <rPr>
        <b/>
        <sz val="10"/>
        <rFont val="Times New Roman CE"/>
        <family val="1"/>
      </rPr>
      <t>(= a</t>
    </r>
    <r>
      <rPr>
        <b/>
        <vertAlign val="superscript"/>
        <sz val="10"/>
        <rFont val="Times New Roman CE"/>
        <family val="1"/>
      </rPr>
      <t>x</t>
    </r>
    <r>
      <rPr>
        <b/>
        <sz val="10"/>
        <rFont val="Times New Roman CE"/>
        <family val="1"/>
      </rPr>
      <t xml:space="preserve"> - 1)</t>
    </r>
  </si>
  <si>
    <r>
      <t>RP                       (=z . r</t>
    </r>
    <r>
      <rPr>
        <b/>
        <vertAlign val="subscript"/>
        <sz val="10"/>
        <rFont val="Times New Roman CE"/>
        <family val="1"/>
      </rPr>
      <t>f</t>
    </r>
    <r>
      <rPr>
        <b/>
        <sz val="10"/>
        <rFont val="Times New Roman CE"/>
        <family val="1"/>
      </rPr>
      <t>/n)</t>
    </r>
  </si>
  <si>
    <t>Rating České republiky</t>
  </si>
  <si>
    <t>Riziková prémie země</t>
  </si>
  <si>
    <t>Odhad poměru rizikové prémie u akcií oproti dluhopisům</t>
  </si>
  <si>
    <r>
      <t>r</t>
    </r>
    <r>
      <rPr>
        <vertAlign val="subscript"/>
        <sz val="10"/>
        <rFont val="Arial CE"/>
        <family val="2"/>
      </rPr>
      <t xml:space="preserve">f </t>
    </r>
    <r>
      <rPr>
        <sz val="10"/>
        <rFont val="Arial CE"/>
        <family val="0"/>
      </rPr>
      <t>(aktuální výnosnost 10letých vládních dluhopisů USA)</t>
    </r>
  </si>
  <si>
    <t>Riziková přirážka za menší společnost - odhad</t>
  </si>
  <si>
    <t>Riziková přirážka za menší likviditu vlastnických podílů - odhad</t>
  </si>
  <si>
    <t>Poměr cizího a vlastního kapitálu u oceňovaného podniku</t>
  </si>
  <si>
    <t>Daňová sazba</t>
  </si>
  <si>
    <t>Beta zadlužené</t>
  </si>
  <si>
    <t>Výsledný podíl CK/VK</t>
  </si>
  <si>
    <t>Dlouhodobý majetek</t>
  </si>
  <si>
    <t>Pohledávky z obchodních vztahů</t>
  </si>
  <si>
    <t>Krátkodobé cenné papíry a podíly</t>
  </si>
  <si>
    <t xml:space="preserve">Krátkodobý finanční majetek </t>
  </si>
  <si>
    <t>Výsledek hospodaření běž. úč. období  (+-)</t>
  </si>
  <si>
    <t>Vydané dluhopisy</t>
  </si>
  <si>
    <t>Závazky z obchodních vztahů</t>
  </si>
  <si>
    <t>Závazky ze sociál. zabezpečení a zdrav. poj.</t>
  </si>
  <si>
    <t>Krátkodobé bankovní úvěry</t>
  </si>
  <si>
    <t>Výsledek hospodaření běžného úč. období  (+-)</t>
  </si>
  <si>
    <t>Závazky ze sociálního zabezpečení a zdrav. pojištění</t>
  </si>
  <si>
    <t>Náklady na sociál. zab. a zdrav. poj.</t>
  </si>
  <si>
    <t>Odpisy DNM a DHM</t>
  </si>
  <si>
    <t>Tržby z prodeje DM a materiálu</t>
  </si>
  <si>
    <t>Zůstatková cena prodaného DM a materiálu</t>
  </si>
  <si>
    <t>Výsledek hospodaření za účetní období</t>
  </si>
  <si>
    <t>Výsledek hospodaření před zdaněním</t>
  </si>
  <si>
    <t>Změna stavu rezerv a opravných položek</t>
  </si>
  <si>
    <t>Q.</t>
  </si>
  <si>
    <t>Účetní výsledek hospodaření</t>
  </si>
  <si>
    <t>Změna stavu krátkodobých bankovních úvěrů</t>
  </si>
  <si>
    <t>Změna stavu krátkodobých cenných papírů</t>
  </si>
  <si>
    <t>Nabytí dlouhodobého majetku</t>
  </si>
  <si>
    <t>Výplata dividend a podílů ze zisku</t>
  </si>
  <si>
    <t>Změna stavu krátk. závazků a pasivních účtů čas. rozlišení</t>
  </si>
  <si>
    <t>Změna stavu pohledávek a aktivních účtů čas. rozlišení</t>
  </si>
  <si>
    <t>Změna stavu dlouhodobých závazků a úvěrů</t>
  </si>
  <si>
    <t>Ostatní provozní položky (změna rezerv)</t>
  </si>
  <si>
    <t xml:space="preserve">Změna stavu krátkodobých závazků </t>
  </si>
  <si>
    <t>Zvýšení a snížení VK z vybraných operací</t>
  </si>
  <si>
    <t>a) Provozně potřebný</t>
  </si>
  <si>
    <t>b) Provozně nepotřebný:</t>
  </si>
  <si>
    <t>b) Provozně nepotřebné</t>
  </si>
  <si>
    <t>a) Provozně potřebné</t>
  </si>
  <si>
    <t>Krátkodobý finanční majetek (peníze + účty)</t>
  </si>
  <si>
    <t xml:space="preserve">     - Ostatní dlouhodobé cenné papíry a vklady</t>
  </si>
  <si>
    <t xml:space="preserve">     - Jiný dlouhodobý finanční majetek (pohledávka)</t>
  </si>
  <si>
    <t>a) Hlavní činnost - náklady a výnosy spojené s provozním majetkem</t>
  </si>
  <si>
    <t>b) Náklady na cizí kapitál</t>
  </si>
  <si>
    <t>c) Vedlejší činnost - náklady a výnosy spojené s neprovozním majetkem</t>
  </si>
  <si>
    <t>Výsledek hospodaření z neprovozního majetku</t>
  </si>
  <si>
    <t>d) Celkový výsledek hospodaření</t>
  </si>
  <si>
    <t>Korigovaný provozní výsledek hospodaření</t>
  </si>
  <si>
    <t>Zisková marže po odpisech a po dani</t>
  </si>
  <si>
    <t xml:space="preserve">Daň </t>
  </si>
  <si>
    <t>a) Peněžní tok z provozního majetku</t>
  </si>
  <si>
    <t>Korigovaný provozní VH po dani</t>
  </si>
  <si>
    <t>Odpisy dlouhodobého majetku (provozně nutného)</t>
  </si>
  <si>
    <t>Úpravy oběžných aktiv (provozně nutných)</t>
  </si>
  <si>
    <t>Nabytí dlouhodobého majetku (provozně nutného)</t>
  </si>
  <si>
    <t>1) PENĚŽNÍ TOK Z PROVOZU</t>
  </si>
  <si>
    <t>2) INVESTIČNÍ ČINNOST</t>
  </si>
  <si>
    <t>PENĚŽNÍ TOK Z PROVOZNÍHO MAJETKU CELKEM</t>
  </si>
  <si>
    <t>Snížení dlouhodobého fin. majetku (splátka půjčky)</t>
  </si>
  <si>
    <t>Výsledek hospodaření za účetní období po dani</t>
  </si>
  <si>
    <t>PLATBA NÁKLADOVÝCH ÚROKŮ</t>
  </si>
  <si>
    <t>PENĚŽNÍ TOK Z NEPROVOZNÍHO MAJ. CELKEM</t>
  </si>
  <si>
    <t>c) Peněžní tok z neprovozního majetku</t>
  </si>
  <si>
    <t>d) Finanční činnost</t>
  </si>
  <si>
    <t>Změna dlouhodobých bankovních úvěrů</t>
  </si>
  <si>
    <t>PENĚŽNÍ TOK Z FINANČNÍ ČINNOSTI CELKEM</t>
  </si>
  <si>
    <t>e) Peněžní tok celkem</t>
  </si>
  <si>
    <t>Nabytí neprovozního majetku</t>
  </si>
  <si>
    <t>Prodej neprovozního majetku</t>
  </si>
  <si>
    <t>Mimořádný výsledek hospodaření před daní</t>
  </si>
  <si>
    <t>Celkový výsledek hospodaření před daní</t>
  </si>
  <si>
    <t>Změna dlouhodobého finančního majetku</t>
  </si>
  <si>
    <t>Výnosy z prodeje DHM a DNM</t>
  </si>
  <si>
    <t>Úroková míra z dluhopisů</t>
  </si>
  <si>
    <t>Úroková míra z dlouhodobých úvěrů</t>
  </si>
  <si>
    <t>Úroková míra z krátkodobých úvěrů</t>
  </si>
  <si>
    <t xml:space="preserve">   a daňovou úsporu z nákladových úroků</t>
  </si>
  <si>
    <t xml:space="preserve">*) Diference v dani zahrnuje daň z výnosů z neprovozního majetku, daň z mimořádného zisku </t>
  </si>
  <si>
    <t>Provozní CF v pojetí účetního výkazu peněžních toků</t>
  </si>
  <si>
    <t>Ukazatel</t>
  </si>
  <si>
    <t>Plánovaná výsledovka (tis. Kč)</t>
  </si>
  <si>
    <t>Plánovaný výkaz peněžních toků (tis.Kč)</t>
  </si>
  <si>
    <t>Plánovaná rozvaha (tis. Kč)</t>
  </si>
  <si>
    <t>Doba obratu zásob (dny)</t>
  </si>
  <si>
    <t>Průměrné vážené náklady kapitálu</t>
  </si>
  <si>
    <t>Vlastní kapitál + nákladové rezervy</t>
  </si>
  <si>
    <t>Dluhopisy</t>
  </si>
  <si>
    <t>Bankovní úvěry krátkodobé</t>
  </si>
  <si>
    <t>Zpoplatněný kapitál celkem</t>
  </si>
  <si>
    <t>Splatnost</t>
  </si>
  <si>
    <t>let</t>
  </si>
  <si>
    <t>Nominální hodnota 1 ks</t>
  </si>
  <si>
    <t>Kč</t>
  </si>
  <si>
    <t>Nominální (kuponová) výnosnost</t>
  </si>
  <si>
    <t>Počet dluhopisů</t>
  </si>
  <si>
    <t>ks</t>
  </si>
  <si>
    <t>Úroková míra</t>
  </si>
  <si>
    <t>rok</t>
  </si>
  <si>
    <t>ZADÁNÍ</t>
  </si>
  <si>
    <t>ŘEŠENÍ</t>
  </si>
  <si>
    <t>a) Váhy položek kapitálu</t>
  </si>
  <si>
    <t>a) Účetní struktura kapitálu k datu ocenění:</t>
  </si>
  <si>
    <t>Počet akcií</t>
  </si>
  <si>
    <t>Cizí kapitál celkem</t>
  </si>
  <si>
    <t>Celkový zpoplatněný kapitál</t>
  </si>
  <si>
    <t>Podíl</t>
  </si>
  <si>
    <t>Zbývající počet let do splatnosti</t>
  </si>
  <si>
    <t>Časová řada ročních toků z dluhopisu</t>
  </si>
  <si>
    <t>Výnos do doby splatnosti dluhopisů</t>
  </si>
  <si>
    <r>
      <t>n</t>
    </r>
    <r>
      <rPr>
        <b/>
        <vertAlign val="subscript"/>
        <sz val="10"/>
        <rFont val="Arial CE"/>
        <family val="2"/>
      </rPr>
      <t>CK</t>
    </r>
  </si>
  <si>
    <t>Tržní hodnota</t>
  </si>
  <si>
    <t>Součin</t>
  </si>
  <si>
    <t>Průměrné náklady cizího kapitálu</t>
  </si>
  <si>
    <t>c) Náklady na vlastní kapitál</t>
  </si>
  <si>
    <t>Odhad pomocí modelu CAPM a rizikové prémie země</t>
  </si>
  <si>
    <r>
      <t xml:space="preserve">Odhad pomocí stavebnicová metody </t>
    </r>
    <r>
      <rPr>
        <i/>
        <sz val="10"/>
        <rFont val="Arial CE"/>
        <family val="2"/>
      </rPr>
      <t>(pomocná informace)</t>
    </r>
  </si>
  <si>
    <t>d) Průměrné vážené náklady kapitálu</t>
  </si>
  <si>
    <t>Náklad</t>
  </si>
  <si>
    <t xml:space="preserve">Cizí kapitál po dani </t>
  </si>
  <si>
    <t>Výsledný podíl VK/K</t>
  </si>
  <si>
    <t>Roční kupónový výnos nominální</t>
  </si>
  <si>
    <t>Výpočet provozně potřebných peněžních prostředků:</t>
  </si>
  <si>
    <t>Provozně nutný investovaný kapitál:</t>
  </si>
  <si>
    <t>Upravená daň</t>
  </si>
  <si>
    <t>Investice do provozně nutného dlouhodobého majetku</t>
  </si>
  <si>
    <t>P/E</t>
  </si>
  <si>
    <t>EV/EBIT</t>
  </si>
  <si>
    <t>Tempo růstu korigovaného provozního VH</t>
  </si>
  <si>
    <t>Míra investic netto do DM a PK</t>
  </si>
  <si>
    <t>VI. Ostatní faktory</t>
  </si>
  <si>
    <t>b) Informace o položkách kapitálu:</t>
  </si>
  <si>
    <t>Současná tržní cena (dopočet z iterací)</t>
  </si>
  <si>
    <t>(+) odpisy</t>
  </si>
  <si>
    <t>Cenový index řetězový</t>
  </si>
  <si>
    <t>UVH upravený o inflaci</t>
  </si>
  <si>
    <t>Váhy</t>
  </si>
  <si>
    <t>Trvale odnímatelný čistý výnos před odpisy</t>
  </si>
  <si>
    <t>Odpisy z reprodukčních cen ze zadání</t>
  </si>
  <si>
    <t>(-) Tržby z prodeje dlouh.majetku</t>
  </si>
  <si>
    <t>Výnosová hodnota provozní</t>
  </si>
  <si>
    <t>(-) Mimořádné výnosy</t>
  </si>
  <si>
    <t>(+) Mimořádné náklady</t>
  </si>
  <si>
    <t xml:space="preserve">(-) Finanční výnosy </t>
  </si>
  <si>
    <t>Trvale odnímatelný čistý výnos před daní</t>
  </si>
  <si>
    <t>Daňový základ (s odpisy z posledního roku)</t>
  </si>
  <si>
    <t>Trvale odnímatelný čistý výnos po dani</t>
  </si>
  <si>
    <r>
      <t>Kalkulavaná úroková míra (n</t>
    </r>
    <r>
      <rPr>
        <b/>
        <vertAlign val="subscript"/>
        <sz val="10"/>
        <rFont val="Arial CE"/>
        <family val="2"/>
      </rPr>
      <t>VK</t>
    </r>
    <r>
      <rPr>
        <b/>
        <sz val="10"/>
        <rFont val="Arial CE"/>
        <family val="2"/>
      </rPr>
      <t xml:space="preserve"> bez inflace)</t>
    </r>
  </si>
  <si>
    <t>Předpokládaná dlouhodobá inflace</t>
  </si>
  <si>
    <t>Upravený výsledek hospodaření UVH před odpisy</t>
  </si>
  <si>
    <t>UVH upravený o inflaci x váhy</t>
  </si>
  <si>
    <t>UNIPO</t>
  </si>
  <si>
    <t>P/BV</t>
  </si>
  <si>
    <t>EV/Tržby</t>
  </si>
  <si>
    <t>Porovnání násobitelů UNIPO při ocenění na úrovni DCF s průměrnými násobiteli na evrpských trzích</t>
  </si>
  <si>
    <t>EV</t>
  </si>
  <si>
    <t>P</t>
  </si>
  <si>
    <t>Rentabilita investovaného kapitálu</t>
  </si>
  <si>
    <r>
      <t xml:space="preserve">WACC x NOA </t>
    </r>
    <r>
      <rPr>
        <vertAlign val="subscript"/>
        <sz val="10"/>
        <rFont val="Arial CE"/>
        <family val="2"/>
      </rPr>
      <t>t-1</t>
    </r>
  </si>
  <si>
    <t>Data z veřejných zdrojů</t>
  </si>
  <si>
    <t>ANALÝZA VNĚJŠÍHO POTENCIÁLU</t>
  </si>
  <si>
    <t>1) Regresní analýza - závislost trhu na čase lineární</t>
  </si>
  <si>
    <t>ANALÝZA VNĚJŠÍHO POTENCIÁLU (údaje v mil. Kč)</t>
  </si>
  <si>
    <t>Poznámka:</t>
  </si>
  <si>
    <t>Vnější potenciál</t>
  </si>
  <si>
    <t>Strategická analýza</t>
  </si>
  <si>
    <t>ANALÝZA TRŽNÍHO PODÍLU UNIPO (údaje v mil. Kč)</t>
  </si>
  <si>
    <t>Průměrné tempo růstu tržeb UNIPO</t>
  </si>
  <si>
    <t>Shrnutí výsledků regresní analýzy a prognóza trhu</t>
  </si>
  <si>
    <t>Komentář</t>
  </si>
  <si>
    <t>Výsledky regresní analýzy získené pomocí příkazu Excelu: Nástroje - Analýza dat - Regrese</t>
  </si>
  <si>
    <t>Výkazy UNIPO za minulé období</t>
  </si>
  <si>
    <t>Rozvaha</t>
  </si>
  <si>
    <t>FINANČNÍ VÝKAZY UNIPO (údaje v tis. Kč)</t>
  </si>
  <si>
    <t>Výsledovka</t>
  </si>
  <si>
    <t>Výkaz peněžních toků</t>
  </si>
  <si>
    <t>Cash flow</t>
  </si>
  <si>
    <t>Finanční analýza</t>
  </si>
  <si>
    <t>FINANČNÍ ANALÝZA</t>
  </si>
  <si>
    <t>Struktura rozvahy (tj. vertikální analýza)</t>
  </si>
  <si>
    <t>Tempo růstu položek rozvahy (tj. horizontální analýza)</t>
  </si>
  <si>
    <t>z toho: Závazky z obchodních vztahů</t>
  </si>
  <si>
    <t>Struktura rozvahy</t>
  </si>
  <si>
    <t>Tempo rozvaha</t>
  </si>
  <si>
    <t>Struktura výsledovky</t>
  </si>
  <si>
    <t>Tempo výsledovka</t>
  </si>
  <si>
    <t>Vertikální a horizontální analýza finančních výkazů</t>
  </si>
  <si>
    <t>Struktura výsledovky (tj. vertikální analýza)</t>
  </si>
  <si>
    <t>Tempo růstu položek výsledovky (tj. horizontální analýza)</t>
  </si>
  <si>
    <t>Poměrové ukazatele</t>
  </si>
  <si>
    <t>Ukazatele</t>
  </si>
  <si>
    <t>ANALÝZA A PROGNÓZA GENERÁTORŮ HODNOTY</t>
  </si>
  <si>
    <t>Osobní náklady (tis. Kč)</t>
  </si>
  <si>
    <t>Korigovaný provozní zisk před odpisy (tis. Kč)</t>
  </si>
  <si>
    <t>Provozně nutná likvidita</t>
  </si>
  <si>
    <t>Likvidita (peníze / krátkodobé závazky)</t>
  </si>
  <si>
    <t>a) Výpočet koeficientů náročnosti za minulé období</t>
  </si>
  <si>
    <t>b) Odhad investic pro budoucí období</t>
  </si>
  <si>
    <t>c) Plán dlouhodobého majetku, investic a odpisů (tis. Kč)</t>
  </si>
  <si>
    <t>b) Provozně nutné peníze</t>
  </si>
  <si>
    <t>c) Upravený pracovní kapitál (tis. Kč)</t>
  </si>
  <si>
    <t>Generátory</t>
  </si>
  <si>
    <t>Analýza a prognóza generátorů hodnoty</t>
  </si>
  <si>
    <t>FINANČNÍ PLÁN</t>
  </si>
  <si>
    <t>Finanční plán</t>
  </si>
  <si>
    <t>Plán</t>
  </si>
  <si>
    <t>Výsledovka, cash flow, rozvaha, finanční analýza plánu</t>
  </si>
  <si>
    <t>PŘEDBĚŽNÉ ORIENTAČNÍ OCENĚNÍ NA ZÁKLADĚ GENERÁTORŮ HODNOTY</t>
  </si>
  <si>
    <t>Označení</t>
  </si>
  <si>
    <t>Varianta</t>
  </si>
  <si>
    <t>Generátor hodnoty</t>
  </si>
  <si>
    <r>
      <t>r</t>
    </r>
    <r>
      <rPr>
        <vertAlign val="subscript"/>
        <sz val="10"/>
        <rFont val="Arial"/>
        <family val="2"/>
      </rPr>
      <t>ZPx</t>
    </r>
  </si>
  <si>
    <r>
      <t>k</t>
    </r>
    <r>
      <rPr>
        <vertAlign val="subscript"/>
        <sz val="10"/>
        <rFont val="Arial"/>
        <family val="2"/>
      </rPr>
      <t>WC</t>
    </r>
  </si>
  <si>
    <r>
      <t>i</t>
    </r>
    <r>
      <rPr>
        <vertAlign val="subscript"/>
        <sz val="10"/>
        <rFont val="Arial"/>
        <family val="2"/>
      </rPr>
      <t>k</t>
    </r>
  </si>
  <si>
    <t>Hodnota podniku brutto</t>
  </si>
  <si>
    <t>OCENĚNÍ PROVOZNĚ NEPOTŘEBNÉ POHLEDÁVKY</t>
  </si>
  <si>
    <t>OCENĚNÍ PROVOZNĚ NEPOTŘEBNÝCH NAKOUPENÝCH DLUHOPISŮ</t>
  </si>
  <si>
    <t>Generátory - ocenění</t>
  </si>
  <si>
    <t>Náklady kapitálu (diskontní míra pro výnosové ocenění)</t>
  </si>
  <si>
    <t>Náklady vlastního kapitálu odvozené z CAPM pomocí rizika země</t>
  </si>
  <si>
    <t>Náklady vlastního kapitálu odvozené pomocí komplexní stavebnicové metody</t>
  </si>
  <si>
    <t xml:space="preserve">   Bezriziková výnosová míra:</t>
  </si>
  <si>
    <t>NÁKLADY VLASTNÍHO KAPITÁLU -  CAPM S RIZIKOVOU PRÉMIÍ ZEMĚ</t>
  </si>
  <si>
    <t>NÁKLADY VLASTNÍHO KAPITÁLU - KOMPLEXNÍ STAVEBNICOVÁ METODA</t>
  </si>
  <si>
    <t>Celkové náklady kapitálu</t>
  </si>
  <si>
    <t>PRŮMĚRNÉ VÁŽENÉ NÁKLADY KAPITÁLU</t>
  </si>
  <si>
    <t>Položka kapitálu</t>
  </si>
  <si>
    <t>VÝNOSOVÉ OCENĚNÍ - METODA DCF</t>
  </si>
  <si>
    <t>Gordonův vzorec</t>
  </si>
  <si>
    <t>Kontrolní propočty tržní struktury pro odhad nákladů kapitálu</t>
  </si>
  <si>
    <t>VÝNOSOVÉ OCENĚNÍ - METODA EVA / MVA</t>
  </si>
  <si>
    <t>VÝNOSOVÉ OCENĚNÍ - METODA KAPITALIZOVANÝCH ČISTÝCH VÝNOSŮ</t>
  </si>
  <si>
    <t>Paušální metoda</t>
  </si>
  <si>
    <t>Výsledná hodnota vlastního kapitálu podle EVA</t>
  </si>
  <si>
    <t>Výsledná hodnota vlastního kapitálu podle DCF</t>
  </si>
  <si>
    <t>Hodnota vlastního kapitálu podle KČV</t>
  </si>
  <si>
    <t>Výnosové ocenění podniku UNIPO</t>
  </si>
  <si>
    <t>DCF</t>
  </si>
  <si>
    <t>KČV</t>
  </si>
  <si>
    <t>Metoda diskontovaných peněžních toků</t>
  </si>
  <si>
    <t>Metoda ekonomické přidané hodnoty</t>
  </si>
  <si>
    <t>Metoda kapitalizovaných čistých výnosů (paušální)</t>
  </si>
  <si>
    <t>TRŽNÍ POROVNÁNÍ - orientační propočet násobitelů pro UNIPO</t>
  </si>
  <si>
    <t>Vstupní veličiny za UNIPO:</t>
  </si>
  <si>
    <t>4. Hodnota pohledávky celkem (tis. Kč)</t>
  </si>
  <si>
    <t>Výnos do doby splatnosti u podobně rizikových dluhopisů</t>
  </si>
  <si>
    <t>Základní údaje o dluhopisech:</t>
  </si>
  <si>
    <t>Zásobitel pro 7 let a 7 %</t>
  </si>
  <si>
    <t>Současná hodnota kupónových plateb</t>
  </si>
  <si>
    <t>Současná hodnota splátky nominální hodnoty</t>
  </si>
  <si>
    <t>Tržní hodnota dluhopisů</t>
  </si>
  <si>
    <t>Majetkové ocenění - provozně nepotřebné položky</t>
  </si>
  <si>
    <t>Ocenění poskytnuté půjčky</t>
  </si>
  <si>
    <t>Ocenění nakoupených dluhopisů</t>
  </si>
  <si>
    <t>kap. 3.2.2.3</t>
  </si>
  <si>
    <t>kap. 3.2.4</t>
  </si>
  <si>
    <t>Prognóza tržeb UNIPO na základě prognózy trhu a tržního podílu</t>
  </si>
  <si>
    <t>Příloha - zadání příkladu UNIPO</t>
  </si>
  <si>
    <t>kap. 3.6</t>
  </si>
  <si>
    <t>kap. 4.1.6.4</t>
  </si>
  <si>
    <t>kap. 4.1.6.5</t>
  </si>
  <si>
    <t>kap. 4.1.6.7</t>
  </si>
  <si>
    <t>kap. 4.2.3.5</t>
  </si>
  <si>
    <t>kap. 7.1</t>
  </si>
  <si>
    <t>kap. 6.6.3.3</t>
  </si>
  <si>
    <t>Číslo a název listu</t>
  </si>
  <si>
    <t>TRŽNÍ HODNOTA PODNIKU UNIPO, A.S.</t>
  </si>
  <si>
    <t xml:space="preserve">Modelový příklad ke knize: </t>
  </si>
  <si>
    <t>Příjmy z neprovozního majetku a mimoř. příjmy</t>
  </si>
  <si>
    <t>Provozní hodnota VK na 1 akcii (Kč)</t>
  </si>
  <si>
    <t>Výsledná hodnota VK na 1 akcii (Kč)</t>
  </si>
  <si>
    <t>(+) Zůst.cena prodaného dlouhodobého majetku</t>
  </si>
  <si>
    <t>(+) Mimořádné osobní náklady - restrukturalizace</t>
  </si>
  <si>
    <t>v rámci kapitoly</t>
  </si>
  <si>
    <t>kap. 6.7.2</t>
  </si>
  <si>
    <t>Souhrnné ocenění</t>
  </si>
  <si>
    <t>Přehled výsledků jednotlivých metod a orientační propočet násobitelů pro UNIPO z ocenění metodou DCF jako doplňková informace pro souhrnné ocenění UNIPO</t>
  </si>
  <si>
    <t>na straně</t>
  </si>
  <si>
    <t>V knize zařazeno:</t>
  </si>
  <si>
    <t>nVK - CAPM</t>
  </si>
  <si>
    <t>nVK - Stavebnice</t>
  </si>
  <si>
    <t>VÝNOSOVÉ OCENĚNÍ</t>
  </si>
  <si>
    <t>Metoda DCF</t>
  </si>
  <si>
    <t>Metoda EVA</t>
  </si>
  <si>
    <t>MAJETKOVÉ OCENĚNÍ</t>
  </si>
  <si>
    <t>Účetní hodnota</t>
  </si>
  <si>
    <t>Substanční hodnota (odhad)</t>
  </si>
  <si>
    <t>Likvidační hodnota (odhad)</t>
  </si>
  <si>
    <t>Goodwill</t>
  </si>
  <si>
    <t>Na úrovni DCF a EVA</t>
  </si>
  <si>
    <t>Metoda KČV paušální</t>
  </si>
  <si>
    <t>EV = enterprise value</t>
  </si>
  <si>
    <t xml:space="preserve">         (tržní hodnota investovaného kapitálu)</t>
  </si>
  <si>
    <t>P   = price</t>
  </si>
  <si>
    <t xml:space="preserve">        (tržní cena akcie, tj. vlastního kapitálu)</t>
  </si>
  <si>
    <t xml:space="preserve">Po klepnutí na buňky s vypočítanou hodnotou v jednotlivých tabulkách je možné prohlédnout si </t>
  </si>
  <si>
    <t>Klepnutím na název listu v obsahu se seznamem listů lze rychle přejít na požadovanou část příkladu.</t>
  </si>
  <si>
    <t>Skok na obsah</t>
  </si>
  <si>
    <t>V pravém horním rohu každého listu je pak hypertextový odkaz "Skok na obsah", na který je možné</t>
  </si>
  <si>
    <t>klepnout a rychle se tak vrátit na tento výchozí list s obsahem.</t>
  </si>
  <si>
    <t>Kritérium</t>
  </si>
  <si>
    <t>Body</t>
  </si>
  <si>
    <t>Negativní</t>
  </si>
  <si>
    <t>Pozitivní</t>
  </si>
  <si>
    <t>×</t>
  </si>
  <si>
    <t>Přímé faktory</t>
  </si>
  <si>
    <t>Cenová úroveň</t>
  </si>
  <si>
    <t>Šíře sortimentu</t>
  </si>
  <si>
    <t>Hloubka sortimentu</t>
  </si>
  <si>
    <t>Kvalita zboží</t>
  </si>
  <si>
    <t>Možnost týdenních nákupů</t>
  </si>
  <si>
    <t>Rychlost obsluhy u pokladen</t>
  </si>
  <si>
    <t>Úroveň prodejen z pohledu zákazníka</t>
  </si>
  <si>
    <t>Kvalita obsluhy</t>
  </si>
  <si>
    <t>Účinnost reklamy</t>
  </si>
  <si>
    <t>Image firmy</t>
  </si>
  <si>
    <t>Nepřímé faktory</t>
  </si>
  <si>
    <t>Kvalita managementu</t>
  </si>
  <si>
    <t>Výkonný personál</t>
  </si>
  <si>
    <t>Systém řízení oběhu zboží</t>
  </si>
  <si>
    <t>Majetek a investice</t>
  </si>
  <si>
    <t>Finanční situace</t>
  </si>
  <si>
    <t>Maximální počet bodů:</t>
  </si>
  <si>
    <t>Dosažený počet bodů:</t>
  </si>
  <si>
    <t>Hodnocení:</t>
  </si>
  <si>
    <t>ANALÝZA SOUHRNNÉ KONKURENČNÍ SÍLY PODNIKU UNIPO</t>
  </si>
  <si>
    <t>Bodové hodnocení kritéria konkurenční síly</t>
  </si>
  <si>
    <t>HDP b.c. (mil. Kč)</t>
  </si>
  <si>
    <t>Tržby MO ČR b.c. (tis. Kč)</t>
  </si>
  <si>
    <t>2007 až 2010</t>
  </si>
  <si>
    <t>1995 až 2006</t>
  </si>
  <si>
    <t>Průměrné roční tempo růstu:</t>
  </si>
  <si>
    <t>Počet obyvatel ČR</t>
  </si>
  <si>
    <t>Trh ČR celkem (mil. Kč)</t>
  </si>
  <si>
    <t>Prům. spotřeba na osobu b.c. (Kč)</t>
  </si>
  <si>
    <t>X</t>
  </si>
  <si>
    <t>Y</t>
  </si>
  <si>
    <t>= korelační koeficient</t>
  </si>
  <si>
    <t>= index determinace</t>
  </si>
  <si>
    <t>2) Regresní analýza - závislost trhu na HDP logaritmická</t>
  </si>
  <si>
    <t>Ln(HDP)</t>
  </si>
  <si>
    <t>Čas (lineární funkce)</t>
  </si>
  <si>
    <t>HDP (logarit. funkce)</t>
  </si>
  <si>
    <t>Teoretické hodnoty - Trh za ČR</t>
  </si>
  <si>
    <t>Relevan-tní trh (mil. Kč)</t>
  </si>
  <si>
    <t>Relevantní trh regionální</t>
  </si>
  <si>
    <t>Korelační koef.</t>
  </si>
  <si>
    <t>Skutečnost - ČR celkem</t>
  </si>
  <si>
    <t>Trh = -15 322 938 + 7794,01116 .rok</t>
  </si>
  <si>
    <t>Trh = -1 527 951,9 + 122 889,108 . Ln(HDP)</t>
  </si>
  <si>
    <r>
      <t>R</t>
    </r>
    <r>
      <rPr>
        <vertAlign val="superscript"/>
        <sz val="10"/>
        <rFont val="Arial CE"/>
        <family val="2"/>
      </rPr>
      <t>2</t>
    </r>
    <r>
      <rPr>
        <sz val="10"/>
        <rFont val="Arial CE"/>
        <family val="2"/>
      </rPr>
      <t xml:space="preserve"> = index determinace = korelační koeficient </t>
    </r>
    <r>
      <rPr>
        <vertAlign val="superscript"/>
        <sz val="10"/>
        <rFont val="Arial CE"/>
        <family val="2"/>
      </rPr>
      <t>2</t>
    </r>
  </si>
  <si>
    <t>Podíl obyvatel regionu na ČR</t>
  </si>
  <si>
    <t>Závislost na čase lineární:</t>
  </si>
  <si>
    <t>Závislost na HDP logaritmická:</t>
  </si>
  <si>
    <t>Závislost na HDP lineární:</t>
  </si>
  <si>
    <t>HDP (lineární funkce)</t>
  </si>
  <si>
    <t>Trh = 145 538 + 0,0537 . HDP</t>
  </si>
  <si>
    <t>2007 - 2010</t>
  </si>
  <si>
    <t>Přírůstek tržeb od konce roku 2002 do roku 2006:</t>
  </si>
  <si>
    <t>Investiční náročnost růstu tržeb 2003-2006</t>
  </si>
  <si>
    <t>Přírůstek tržeb od konce roku 2006 do roku 2010:</t>
  </si>
  <si>
    <t>Průměrná náročnost růstu tržeb na investice netto do pracovního kapitálu:</t>
  </si>
  <si>
    <t>Výnosové ocenění k 1. 1. 2007</t>
  </si>
  <si>
    <t>Diskontované FCFF k 1. 1. 2007</t>
  </si>
  <si>
    <t>FCFF 2011</t>
  </si>
  <si>
    <t>Cenový index bazický vztažený k roku 2006</t>
  </si>
  <si>
    <t>Účetní hodnota dluhopisů k 1. 1. 2007:</t>
  </si>
  <si>
    <t>VÝSLEDNÁ TRŽNÍ HODNOTA K 1. 1. 2007 (zaokrouhleno)</t>
  </si>
  <si>
    <t>k 1. 1. 2007</t>
  </si>
  <si>
    <t>1995 - 2006</t>
  </si>
  <si>
    <t>a) Prognóza ziskové marže shora</t>
  </si>
  <si>
    <t>Korigovaný provozní zisk před odpisy (tržby - náklady)</t>
  </si>
  <si>
    <t>Zisková marže z KPZ před odpisy dopočítaná</t>
  </si>
  <si>
    <t>Náklady vynaložené na prodané zboží (tis. Kč)</t>
  </si>
  <si>
    <t>Současný kurz</t>
  </si>
  <si>
    <t>Riziková prémie kap. trhu USA (geom. průměr 1928-2006)</t>
  </si>
  <si>
    <t>A1</t>
  </si>
  <si>
    <t>Riziko selhání země (prémie USA dluhopisů A1 oproti AAA)</t>
  </si>
  <si>
    <t>Riziková prémie země opravená o rozdíl v inflaci (0,6%)</t>
  </si>
  <si>
    <t>Beta nezadlužené pro maloochod s potravinami (Evropa)</t>
  </si>
  <si>
    <t>Podíl z tržeb</t>
  </si>
  <si>
    <t>Investice 2007-2010 celkem</t>
  </si>
  <si>
    <t xml:space="preserve">             - pořizovací hodnota k 31. 12.</t>
  </si>
  <si>
    <t>Korigovaný provozní zisk po odpisech a po dani</t>
  </si>
  <si>
    <t>a) Doba obratu ve dnech (vztaženo k tržbám)</t>
  </si>
  <si>
    <t>Investovaný kapitál provozně nutný</t>
  </si>
  <si>
    <t>ROZDĚLENÍ MAJETKU NA NUTNÝ A NENUTNÝ</t>
  </si>
  <si>
    <t>Dlouhodobý majetek provozně nutný</t>
  </si>
  <si>
    <t>Peníze  (pokladna + účet) v rozvaze</t>
  </si>
  <si>
    <t>Ostatní aktiva (časové rozlišení aktivní)</t>
  </si>
  <si>
    <t>Ostatní pasiva (časové rozlišení pasivní)</t>
  </si>
  <si>
    <t>Pracovní kapitál provozně nutný</t>
  </si>
  <si>
    <t>Vyloučení VH z prodeje majetku</t>
  </si>
  <si>
    <t>Korigovaný provozní VH</t>
  </si>
  <si>
    <t>Korigovaný prov. VH po upravené dani</t>
  </si>
  <si>
    <t>v řádku vzorců způsob výpočtu dané hodnoty. Některé položky obsahují popis také ve formě</t>
  </si>
  <si>
    <t>poznámky, což signalizuje červená značka v pravém horním rohu buňky. Poznámka se objeví po</t>
  </si>
  <si>
    <t>umístění myši na buňku s takovouto značkou.</t>
  </si>
  <si>
    <t>Investovaný kapitál provozně nutný k 31. 12.</t>
  </si>
  <si>
    <t>x</t>
  </si>
  <si>
    <t>Průměr minulost</t>
  </si>
  <si>
    <t>Průměr plán</t>
  </si>
  <si>
    <t>Tržní hodnota / účetní hodnota vlastního kapitálu</t>
  </si>
  <si>
    <t>Běžná dostupnost</t>
  </si>
  <si>
    <t xml:space="preserve">       III-F</t>
  </si>
  <si>
    <t>Zisk z prodeje dlouhodobého majetku</t>
  </si>
  <si>
    <t>Peníze (pokladna + účet) v rozvaze</t>
  </si>
  <si>
    <t>Likvidita (peníze / krátkodobé závazky) skutečná</t>
  </si>
  <si>
    <t>Podíly z tržeb</t>
  </si>
  <si>
    <t>2) Zisková marže</t>
  </si>
  <si>
    <t>b) Prognóza ziskové marže zdola</t>
  </si>
  <si>
    <t>3) Pracovní kapitál</t>
  </si>
  <si>
    <t>4) Dlouhodobý majetek a investice</t>
  </si>
  <si>
    <t>5) Analýza rentability provozně nutného investovaného kapitálu</t>
  </si>
  <si>
    <t>a) Korigovaný provozní zisk a zisková marže po odpisech a po upravené dani</t>
  </si>
  <si>
    <t>b) Provozně nutný investovaný kapitál a rentabilita investovaného kapitálu</t>
  </si>
  <si>
    <t>Zisková marže (z KPVH před odpisy)</t>
  </si>
  <si>
    <t>Zisková marže z KPVH po odpisech a po dani</t>
  </si>
  <si>
    <t xml:space="preserve">Tempo růstu KPVH po odpisech a dani </t>
  </si>
  <si>
    <t>Diference v platbě daně oproti dani z KPVH            *)</t>
  </si>
  <si>
    <t>Průměr celkem</t>
  </si>
  <si>
    <t>Jmenovitá hodnota zůstatku pohledávky k 1. 1. 2007 (tis. Kč):</t>
  </si>
  <si>
    <r>
      <t>P</t>
    </r>
    <r>
      <rPr>
        <vertAlign val="subscript"/>
        <sz val="10"/>
        <rFont val="Arial CE"/>
        <family val="2"/>
      </rPr>
      <t>2</t>
    </r>
    <r>
      <rPr>
        <sz val="10"/>
        <rFont val="Arial CE"/>
        <family val="0"/>
      </rPr>
      <t xml:space="preserve"> ("zástava"):</t>
    </r>
  </si>
  <si>
    <t>Odhad investic netto pro růst tržeb v letech 2007-2010</t>
  </si>
  <si>
    <t>Nový      - investice netto</t>
  </si>
  <si>
    <t xml:space="preserve">             - investice brutto</t>
  </si>
  <si>
    <t xml:space="preserve">             - odpisy (1/30 z pořizovací hodnoty k 1.1.)</t>
  </si>
  <si>
    <t xml:space="preserve">              - odpisy (1/6 z pořizovací hodnoty k 1.1.)</t>
  </si>
  <si>
    <t xml:space="preserve">             - odpisy (1/4 z pořizovací hodnoty k 1.1.)</t>
  </si>
  <si>
    <t>Celkové investice netto do dlouhodobého majetku</t>
  </si>
  <si>
    <t>Celkové investice brutto do dlouhodobého majetku</t>
  </si>
  <si>
    <t>Odchylka od střední hodnoty</t>
  </si>
  <si>
    <t>Podobné podniky</t>
  </si>
  <si>
    <r>
      <t xml:space="preserve">Rentabilita hlavního provozu </t>
    </r>
    <r>
      <rPr>
        <sz val="10"/>
        <rFont val="Arial CE"/>
        <family val="2"/>
      </rPr>
      <t>(rentabilita kapitálu je počítána ze stavu kapitálu ke konci roku)</t>
    </r>
  </si>
  <si>
    <r>
      <t xml:space="preserve">Rentabilita účetní </t>
    </r>
    <r>
      <rPr>
        <sz val="10"/>
        <rFont val="Arial CE"/>
        <family val="2"/>
      </rPr>
      <t>(rentability kapitálu jsou počítány ze stavu kapitálu ke konci roku)</t>
    </r>
  </si>
  <si>
    <t>Rentabilita prov.nutného investovaného kapitálu z KPVH</t>
  </si>
  <si>
    <t>Rentabilita tržeb z KPVH po dani (zisková marže)</t>
  </si>
  <si>
    <t>Původní  - odpisy</t>
  </si>
  <si>
    <t>Zisková marže po dani</t>
  </si>
  <si>
    <t>Předpokládaná daň z příjmů</t>
  </si>
  <si>
    <t>Roční kupónový výnos po dani *)</t>
  </si>
  <si>
    <t>Pro zjednodušení se předpokládá jednotná daň:</t>
  </si>
  <si>
    <r>
      <t>Korigovaný provozní výsledek hospodaření (KPVH</t>
    </r>
    <r>
      <rPr>
        <b/>
        <vertAlign val="subscript"/>
        <sz val="10"/>
        <rFont val="Arial CE"/>
        <family val="2"/>
      </rPr>
      <t>d</t>
    </r>
    <r>
      <rPr>
        <b/>
        <sz val="10"/>
        <rFont val="Arial CE"/>
        <family val="2"/>
      </rPr>
      <t>)</t>
    </r>
  </si>
  <si>
    <r>
      <t>Daň připadající na korigovaný VH (d x KPVH</t>
    </r>
    <r>
      <rPr>
        <vertAlign val="subscript"/>
        <sz val="10"/>
        <rFont val="Arial CE"/>
        <family val="2"/>
      </rPr>
      <t>d</t>
    </r>
    <r>
      <rPr>
        <sz val="10"/>
        <rFont val="Arial CE"/>
        <family val="2"/>
      </rPr>
      <t>)</t>
    </r>
  </si>
  <si>
    <t>Korigovaný provozní VH po dani (KPVH)</t>
  </si>
  <si>
    <t>Růstové příležitosti</t>
  </si>
  <si>
    <t>NOA k 31. 12.</t>
  </si>
  <si>
    <t>Regrese - Čas lineární</t>
  </si>
  <si>
    <t>Regrese - HDP logarit.</t>
  </si>
  <si>
    <t>Regrese - HDP lineární</t>
  </si>
  <si>
    <t>2) Regresní analýza - závislost trhu na HDP lineární</t>
  </si>
  <si>
    <t>Vnitřní potenciál</t>
  </si>
  <si>
    <t>Analýza souhrnné konkurenční síly podniku UNIPO</t>
  </si>
  <si>
    <t>70</t>
  </si>
  <si>
    <t>kap. 3.2.3.3</t>
  </si>
  <si>
    <t>90</t>
  </si>
  <si>
    <t>95</t>
  </si>
  <si>
    <t>Výkazy za roky 2002 až 2006</t>
  </si>
  <si>
    <t>462</t>
  </si>
  <si>
    <t>kap. 3.3</t>
  </si>
  <si>
    <t>111</t>
  </si>
  <si>
    <t>Rozdělení majetku</t>
  </si>
  <si>
    <t>kap. 3.4</t>
  </si>
  <si>
    <t>124</t>
  </si>
  <si>
    <t>Rozdělení majektu, provozně nutný investovaný kapitálu a korigovaný provozního VH za minulost</t>
  </si>
  <si>
    <t>Rozdělení majetku na provozně nutný a nenutný</t>
  </si>
  <si>
    <t>Tržby, zisková marže, pracovní kapitál, dlouhodobý majetek, prognózovaný K a KPVH</t>
  </si>
  <si>
    <t>139</t>
  </si>
  <si>
    <t>za kap. 3.5.6</t>
  </si>
  <si>
    <t>Předběžné ocenění na základě generátorů hodnoty</t>
  </si>
  <si>
    <t>kap. 3.5.7</t>
  </si>
  <si>
    <t>147</t>
  </si>
  <si>
    <t>157</t>
  </si>
  <si>
    <t>222, 235</t>
  </si>
  <si>
    <t>241</t>
  </si>
  <si>
    <t>254</t>
  </si>
  <si>
    <t>kap. 4.1.2, 4.1.3 a 4.1.4</t>
  </si>
  <si>
    <t>169, 175, 202</t>
  </si>
  <si>
    <t>kap. 4.4</t>
  </si>
  <si>
    <t>301</t>
  </si>
  <si>
    <t>275</t>
  </si>
  <si>
    <t>383</t>
  </si>
  <si>
    <t>390</t>
  </si>
  <si>
    <t>428</t>
  </si>
  <si>
    <t>Provozní výsledek hospodaření z výsledovky</t>
  </si>
  <si>
    <t>Obrat investovaného kapitálu provozně nutného</t>
  </si>
  <si>
    <t>Průměrná náročnost růstu tržeb na investice netto do dlouhodobého majetku:</t>
  </si>
  <si>
    <r>
      <t xml:space="preserve">   a = (n</t>
    </r>
    <r>
      <rPr>
        <vertAlign val="subscript"/>
        <sz val="10"/>
        <rFont val="Arial CE"/>
        <family val="2"/>
      </rPr>
      <t>vk max</t>
    </r>
    <r>
      <rPr>
        <sz val="10"/>
        <rFont val="Arial CE"/>
        <family val="0"/>
      </rPr>
      <t xml:space="preserve"> / r</t>
    </r>
    <r>
      <rPr>
        <vertAlign val="subscript"/>
        <sz val="10"/>
        <rFont val="Arial CE"/>
        <family val="2"/>
      </rPr>
      <t>f</t>
    </r>
    <r>
      <rPr>
        <sz val="10"/>
        <rFont val="Arial CE"/>
        <family val="0"/>
      </rPr>
      <t>)^(1/4)</t>
    </r>
  </si>
  <si>
    <r>
      <t>P</t>
    </r>
    <r>
      <rPr>
        <vertAlign val="subscript"/>
        <sz val="10"/>
        <rFont val="Arial CE"/>
        <family val="2"/>
      </rPr>
      <t>1</t>
    </r>
    <r>
      <rPr>
        <sz val="10"/>
        <rFont val="Arial CE"/>
        <family val="0"/>
      </rPr>
      <t xml:space="preserve"> ("spl.kalendář"):</t>
    </r>
  </si>
  <si>
    <t>Mařík, M. a kol.: Metody oceňování podniku - 1. díl, 3. vydání, Ekopress 2011</t>
  </si>
  <si>
    <r>
      <t>k</t>
    </r>
    <r>
      <rPr>
        <vertAlign val="subscript"/>
        <sz val="10"/>
        <rFont val="Arial"/>
        <family val="2"/>
      </rPr>
      <t>DMn</t>
    </r>
  </si>
  <si>
    <r>
      <t>Pro prognózu dlouhodobého majetku byly využity koeficienty náročnosti růstu tržeb na investice netto (k</t>
    </r>
    <r>
      <rPr>
        <vertAlign val="subscript"/>
        <sz val="10"/>
        <rFont val="Arial CE"/>
        <family val="2"/>
      </rPr>
      <t>DMn</t>
    </r>
    <r>
      <rPr>
        <sz val="10"/>
        <rFont val="Arial CE"/>
        <family val="2"/>
      </rPr>
      <t>).</t>
    </r>
  </si>
  <si>
    <r>
      <t>Upozorňujeme však, že v řadě případů může být vhodnější využití koeficentů náročnosti tržeb na investice brutto (k</t>
    </r>
    <r>
      <rPr>
        <vertAlign val="subscript"/>
        <sz val="10"/>
        <rFont val="Arial CE"/>
        <family val="2"/>
      </rPr>
      <t>DMb</t>
    </r>
    <r>
      <rPr>
        <sz val="10"/>
        <rFont val="Arial CE"/>
        <family val="2"/>
      </rPr>
      <t>).</t>
    </r>
  </si>
</sst>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0_)"/>
    <numFmt numFmtId="165" formatCode="0_)"/>
    <numFmt numFmtId="166" formatCode="0_);\-0_);"/>
    <numFmt numFmtId="167" formatCode="#,##0_);[Red]\-#,##0_)"/>
    <numFmt numFmtId="168" formatCode="#,##0.0"/>
    <numFmt numFmtId="169" formatCode="0.0%"/>
    <numFmt numFmtId="170" formatCode="0.000000"/>
    <numFmt numFmtId="171" formatCode="0.00000"/>
    <numFmt numFmtId="172" formatCode="0.0000"/>
    <numFmt numFmtId="173" formatCode="0.000"/>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0.0000000000"/>
    <numFmt numFmtId="180" formatCode="0.000000000"/>
    <numFmt numFmtId="181" formatCode="0.00000000"/>
    <numFmt numFmtId="182" formatCode="0.0000000"/>
    <numFmt numFmtId="183" formatCode="#,##0_)"/>
    <numFmt numFmtId="184" formatCode="#,##0.0_)"/>
    <numFmt numFmtId="185" formatCode="#,##0.00_)"/>
    <numFmt numFmtId="186" formatCode="0.0000%"/>
    <numFmt numFmtId="187" formatCode="0.00000%"/>
    <numFmt numFmtId="188" formatCode="0.000000%"/>
    <numFmt numFmtId="189" formatCode="#,##0.000"/>
    <numFmt numFmtId="190" formatCode="#,##0_ ;\-#,##0\ "/>
    <numFmt numFmtId="191" formatCode="#,##0_X_X_X_X"/>
    <numFmt numFmtId="192" formatCode="#,##0_X_X"/>
    <numFmt numFmtId="193" formatCode="0_X_X"/>
    <numFmt numFmtId="194" formatCode="0_X"/>
    <numFmt numFmtId="195" formatCode="0_X;"/>
    <numFmt numFmtId="196" formatCode="0.00_)"/>
    <numFmt numFmtId="197" formatCode="#,##0.0000"/>
    <numFmt numFmtId="198" formatCode="#,##0.0_);[Red]\-#,##0.0_)"/>
    <numFmt numFmtId="199" formatCode="#,##0.00_);[Red]\-#,##0.00_)"/>
  </numFmts>
  <fonts count="121">
    <font>
      <sz val="10"/>
      <name val="Arial CE"/>
      <family val="0"/>
    </font>
    <font>
      <b/>
      <sz val="11"/>
      <name val="Arial CE"/>
      <family val="2"/>
    </font>
    <font>
      <sz val="11"/>
      <name val="Arial CE"/>
      <family val="2"/>
    </font>
    <font>
      <sz val="11"/>
      <color indexed="8"/>
      <name val="Arial CE"/>
      <family val="2"/>
    </font>
    <font>
      <b/>
      <sz val="10"/>
      <name val="Arial CE"/>
      <family val="2"/>
    </font>
    <font>
      <sz val="10"/>
      <color indexed="8"/>
      <name val="Arial CE"/>
      <family val="2"/>
    </font>
    <font>
      <sz val="10"/>
      <name val="Times New Roman CE"/>
      <family val="1"/>
    </font>
    <font>
      <i/>
      <sz val="10"/>
      <color indexed="10"/>
      <name val="Arial CE"/>
      <family val="2"/>
    </font>
    <font>
      <vertAlign val="superscript"/>
      <sz val="10"/>
      <name val="Arial CE"/>
      <family val="2"/>
    </font>
    <font>
      <b/>
      <i/>
      <sz val="10"/>
      <color indexed="10"/>
      <name val="Arial CE"/>
      <family val="2"/>
    </font>
    <font>
      <i/>
      <sz val="10"/>
      <name val="Arial CE"/>
      <family val="2"/>
    </font>
    <font>
      <b/>
      <i/>
      <sz val="10"/>
      <color indexed="16"/>
      <name val="Arial CE"/>
      <family val="2"/>
    </font>
    <font>
      <b/>
      <i/>
      <sz val="10"/>
      <name val="Arial CE"/>
      <family val="2"/>
    </font>
    <font>
      <b/>
      <sz val="10"/>
      <color indexed="12"/>
      <name val="Arial CE"/>
      <family val="2"/>
    </font>
    <font>
      <i/>
      <sz val="8"/>
      <name val="Arial CE"/>
      <family val="2"/>
    </font>
    <font>
      <u val="single"/>
      <sz val="10"/>
      <color indexed="12"/>
      <name val="Arial CE"/>
      <family val="2"/>
    </font>
    <font>
      <u val="single"/>
      <sz val="10"/>
      <color indexed="36"/>
      <name val="Arial CE"/>
      <family val="2"/>
    </font>
    <font>
      <b/>
      <sz val="10"/>
      <color indexed="8"/>
      <name val="Arial CE"/>
      <family val="2"/>
    </font>
    <font>
      <b/>
      <sz val="12"/>
      <name val="Arial CE"/>
      <family val="2"/>
    </font>
    <font>
      <sz val="16"/>
      <color indexed="10"/>
      <name val="Arial CE"/>
      <family val="2"/>
    </font>
    <font>
      <b/>
      <sz val="10"/>
      <color indexed="10"/>
      <name val="Arial CE"/>
      <family val="2"/>
    </font>
    <font>
      <b/>
      <sz val="14"/>
      <name val="Arial CE"/>
      <family val="2"/>
    </font>
    <font>
      <sz val="12"/>
      <name val="Times New Roman CE"/>
      <family val="0"/>
    </font>
    <font>
      <b/>
      <sz val="12"/>
      <name val="Times New Roman CE"/>
      <family val="1"/>
    </font>
    <font>
      <b/>
      <vertAlign val="superscript"/>
      <sz val="12"/>
      <name val="Times New Roman CE"/>
      <family val="1"/>
    </font>
    <font>
      <b/>
      <sz val="10"/>
      <name val="Times New Roman CE"/>
      <family val="1"/>
    </font>
    <font>
      <b/>
      <vertAlign val="subscript"/>
      <sz val="10"/>
      <name val="Times New Roman CE"/>
      <family val="1"/>
    </font>
    <font>
      <i/>
      <sz val="12"/>
      <name val="Times New Roman CE"/>
      <family val="0"/>
    </font>
    <font>
      <vertAlign val="subscript"/>
      <sz val="10"/>
      <name val="Arial CE"/>
      <family val="2"/>
    </font>
    <font>
      <b/>
      <vertAlign val="superscript"/>
      <sz val="10"/>
      <name val="Times New Roman CE"/>
      <family val="1"/>
    </font>
    <font>
      <b/>
      <sz val="10"/>
      <color indexed="62"/>
      <name val="Arial CE"/>
      <family val="2"/>
    </font>
    <font>
      <sz val="10"/>
      <color indexed="62"/>
      <name val="Arial CE"/>
      <family val="2"/>
    </font>
    <font>
      <sz val="14"/>
      <color indexed="12"/>
      <name val="Arial CE"/>
      <family val="2"/>
    </font>
    <font>
      <b/>
      <sz val="10"/>
      <color indexed="16"/>
      <name val="Arial CE"/>
      <family val="2"/>
    </font>
    <font>
      <b/>
      <sz val="14"/>
      <color indexed="10"/>
      <name val="Arial CE"/>
      <family val="2"/>
    </font>
    <font>
      <b/>
      <sz val="12"/>
      <color indexed="16"/>
      <name val="Arial CE"/>
      <family val="2"/>
    </font>
    <font>
      <b/>
      <vertAlign val="subscript"/>
      <sz val="10"/>
      <name val="Arial CE"/>
      <family val="2"/>
    </font>
    <font>
      <b/>
      <sz val="12"/>
      <color indexed="10"/>
      <name val="Arial CE"/>
      <family val="2"/>
    </font>
    <font>
      <b/>
      <sz val="8"/>
      <name val="Arial CE"/>
      <family val="2"/>
    </font>
    <font>
      <b/>
      <i/>
      <sz val="8"/>
      <name val="Arial CE"/>
      <family val="2"/>
    </font>
    <font>
      <i/>
      <sz val="10"/>
      <color indexed="16"/>
      <name val="Arial CE"/>
      <family val="2"/>
    </font>
    <font>
      <b/>
      <sz val="9"/>
      <name val="Arial CE"/>
      <family val="2"/>
    </font>
    <font>
      <b/>
      <sz val="12"/>
      <color indexed="12"/>
      <name val="Arial CE"/>
      <family val="2"/>
    </font>
    <font>
      <b/>
      <sz val="10"/>
      <color indexed="18"/>
      <name val="Arial CE"/>
      <family val="2"/>
    </font>
    <font>
      <sz val="10"/>
      <color indexed="56"/>
      <name val="Arial CE"/>
      <family val="2"/>
    </font>
    <font>
      <sz val="10"/>
      <color indexed="17"/>
      <name val="Arial CE"/>
      <family val="2"/>
    </font>
    <font>
      <b/>
      <i/>
      <sz val="10"/>
      <color indexed="17"/>
      <name val="Arial CE"/>
      <family val="2"/>
    </font>
    <font>
      <b/>
      <sz val="10"/>
      <color indexed="56"/>
      <name val="Arial CE"/>
      <family val="2"/>
    </font>
    <font>
      <i/>
      <sz val="10"/>
      <color indexed="17"/>
      <name val="Arial CE"/>
      <family val="2"/>
    </font>
    <font>
      <sz val="10"/>
      <color indexed="16"/>
      <name val="Arial CE"/>
      <family val="2"/>
    </font>
    <font>
      <b/>
      <sz val="10"/>
      <color indexed="17"/>
      <name val="Arial CE"/>
      <family val="2"/>
    </font>
    <font>
      <b/>
      <sz val="10"/>
      <color indexed="61"/>
      <name val="Arial CE"/>
      <family val="2"/>
    </font>
    <font>
      <sz val="10"/>
      <name val="Arial"/>
      <family val="2"/>
    </font>
    <font>
      <vertAlign val="subscript"/>
      <sz val="10"/>
      <name val="Arial"/>
      <family val="2"/>
    </font>
    <font>
      <b/>
      <sz val="10"/>
      <color indexed="10"/>
      <name val="Arial"/>
      <family val="2"/>
    </font>
    <font>
      <sz val="10"/>
      <color indexed="10"/>
      <name val="Arial CE"/>
      <family val="2"/>
    </font>
    <font>
      <b/>
      <sz val="12"/>
      <color indexed="10"/>
      <name val="Times New Roman CE"/>
      <family val="1"/>
    </font>
    <font>
      <sz val="10"/>
      <color indexed="18"/>
      <name val="Arial CE"/>
      <family val="2"/>
    </font>
    <font>
      <b/>
      <sz val="12"/>
      <color indexed="18"/>
      <name val="Times New Roman CE"/>
      <family val="1"/>
    </font>
    <font>
      <i/>
      <sz val="9"/>
      <name val="Arial CE"/>
      <family val="2"/>
    </font>
    <font>
      <b/>
      <sz val="11"/>
      <color indexed="16"/>
      <name val="Arial CE"/>
      <family val="2"/>
    </font>
    <font>
      <sz val="11"/>
      <name val="Times New Roman CE"/>
      <family val="1"/>
    </font>
    <font>
      <b/>
      <sz val="12"/>
      <name val="Times New Roman"/>
      <family val="1"/>
    </font>
    <font>
      <sz val="12"/>
      <name val="Times New Roman"/>
      <family val="1"/>
    </font>
    <font>
      <sz val="12"/>
      <color indexed="8"/>
      <name val="Times New Roman CE"/>
      <family val="0"/>
    </font>
    <font>
      <sz val="12"/>
      <name val="Arial Black"/>
      <family val="2"/>
    </font>
    <font>
      <b/>
      <sz val="12"/>
      <color indexed="8"/>
      <name val="Times New Roman CE"/>
      <family val="1"/>
    </font>
    <font>
      <sz val="11"/>
      <name val="Times New Roman"/>
      <family val="1"/>
    </font>
    <font>
      <sz val="8"/>
      <name val="Tahoma"/>
      <family val="2"/>
    </font>
    <font>
      <sz val="10"/>
      <color indexed="8"/>
      <name val="Arial"/>
      <family val="2"/>
    </font>
    <font>
      <b/>
      <sz val="8"/>
      <name val="Tahoma"/>
      <family val="2"/>
    </font>
    <font>
      <sz val="8"/>
      <color indexed="8"/>
      <name val="Arial"/>
      <family val="2"/>
    </font>
    <font>
      <vertAlign val="superscript"/>
      <sz val="8"/>
      <color indexed="8"/>
      <name val="Arial"/>
      <family val="2"/>
    </font>
    <font>
      <sz val="5.25"/>
      <color indexed="8"/>
      <name val="Arial"/>
      <family val="2"/>
    </font>
    <font>
      <sz val="5.75"/>
      <color indexed="8"/>
      <name val="Arial"/>
      <family val="2"/>
    </font>
    <font>
      <sz val="9"/>
      <color indexed="8"/>
      <name val="Arial"/>
      <family val="2"/>
    </font>
    <font>
      <vertAlign val="superscript"/>
      <sz val="9"/>
      <color indexed="8"/>
      <name val="Arial"/>
      <family val="2"/>
    </font>
    <font>
      <sz val="8"/>
      <color indexed="8"/>
      <name val="Arial C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2"/>
    </font>
    <font>
      <b/>
      <sz val="10"/>
      <color indexed="8"/>
      <name val="Arial"/>
      <family val="2"/>
    </font>
    <font>
      <b/>
      <sz val="9"/>
      <color indexed="8"/>
      <name val="Arial"/>
      <family val="2"/>
    </font>
    <font>
      <b/>
      <sz val="8"/>
      <color indexed="8"/>
      <name val="Arial CE"/>
      <family val="2"/>
    </font>
    <font>
      <b/>
      <sz val="9.5"/>
      <color indexed="8"/>
      <name val="Arial CE"/>
      <family val="2"/>
    </font>
    <font>
      <sz val="10"/>
      <color indexed="20"/>
      <name val="Arial CE"/>
      <family val="2"/>
    </font>
    <font>
      <i/>
      <sz val="10"/>
      <color indexed="8"/>
      <name val="Arial CE"/>
      <family val="2"/>
    </font>
    <font>
      <sz val="10"/>
      <color indexed="25"/>
      <name val="Arial CE"/>
      <family val="2"/>
    </font>
    <font>
      <i/>
      <sz val="10"/>
      <color indexed="25"/>
      <name val="Arial CE"/>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49"/>
        <bgColor indexed="64"/>
      </patternFill>
    </fill>
    <fill>
      <patternFill patternType="solid">
        <fgColor indexed="26"/>
        <bgColor indexed="64"/>
      </patternFill>
    </fill>
    <fill>
      <patternFill patternType="solid">
        <fgColor indexed="4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color indexed="63"/>
      </right>
      <top>
        <color indexed="63"/>
      </top>
      <bottom>
        <color indexed="63"/>
      </bottom>
    </border>
    <border>
      <left>
        <color indexed="63"/>
      </left>
      <right>
        <color indexed="63"/>
      </right>
      <top>
        <color indexed="63"/>
      </top>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medium"/>
      <right style="medium"/>
      <top style="thin"/>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style="medium"/>
      <right>
        <color indexed="63"/>
      </right>
      <top>
        <color indexed="63"/>
      </top>
      <bottom>
        <color indexed="63"/>
      </bottom>
    </border>
    <border>
      <left style="medium"/>
      <right style="medium"/>
      <top style="medium"/>
      <bottom>
        <color indexed="63"/>
      </bottom>
    </border>
    <border>
      <left style="thin"/>
      <right style="thin"/>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medium"/>
      <bottom style="medium"/>
    </border>
    <border>
      <left>
        <color indexed="63"/>
      </left>
      <right>
        <color indexed="63"/>
      </right>
      <top style="thin"/>
      <bottom>
        <color indexed="63"/>
      </bottom>
    </border>
    <border>
      <left>
        <color indexed="63"/>
      </left>
      <right style="medium"/>
      <top style="medium"/>
      <bottom style="thin"/>
    </border>
    <border>
      <left style="medium"/>
      <right style="thin"/>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style="thin"/>
      <right style="medium"/>
      <top style="medium"/>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color indexed="63"/>
      </right>
      <top style="thick"/>
      <bottom>
        <color indexed="63"/>
      </bottom>
    </border>
    <border>
      <left>
        <color indexed="63"/>
      </left>
      <right style="thick"/>
      <top style="thick"/>
      <bottom style="thick"/>
    </border>
    <border>
      <left>
        <color indexed="63"/>
      </left>
      <right style="thick"/>
      <top>
        <color indexed="63"/>
      </top>
      <bottom>
        <color indexed="63"/>
      </bottom>
    </border>
    <border>
      <left>
        <color indexed="63"/>
      </left>
      <right style="thin"/>
      <top>
        <color indexed="63"/>
      </top>
      <bottom style="thick"/>
    </border>
    <border>
      <left style="thin"/>
      <right>
        <color indexed="63"/>
      </right>
      <top style="thick"/>
      <bottom style="thick"/>
    </border>
    <border>
      <left style="medium"/>
      <right style="medium"/>
      <top style="thick"/>
      <bottom style="thick"/>
    </border>
    <border>
      <left style="medium"/>
      <right style="thin"/>
      <top style="thick"/>
      <bottom style="thick"/>
    </border>
    <border>
      <left>
        <color indexed="63"/>
      </left>
      <right style="thick"/>
      <top>
        <color indexed="63"/>
      </top>
      <bottom style="thick"/>
    </border>
    <border>
      <left style="thick"/>
      <right>
        <color indexed="63"/>
      </right>
      <top style="thick"/>
      <bottom style="thin"/>
    </border>
    <border>
      <left style="thick"/>
      <right style="thick"/>
      <top style="thick"/>
      <bottom style="thin"/>
    </border>
    <border>
      <left style="thin"/>
      <right>
        <color indexed="63"/>
      </right>
      <top style="thick"/>
      <bottom style="thin"/>
    </border>
    <border>
      <left style="medium"/>
      <right style="thin"/>
      <top style="thick"/>
      <bottom style="thin"/>
    </border>
    <border>
      <left>
        <color indexed="63"/>
      </left>
      <right style="thick"/>
      <top>
        <color indexed="63"/>
      </top>
      <bottom style="thin"/>
    </border>
    <border>
      <left style="thick"/>
      <right>
        <color indexed="63"/>
      </right>
      <top>
        <color indexed="63"/>
      </top>
      <bottom style="thin"/>
    </border>
    <border>
      <left style="thick"/>
      <right style="thick"/>
      <top style="thin"/>
      <bottom style="thin"/>
    </border>
    <border>
      <left style="thick"/>
      <right style="thick"/>
      <top style="thin"/>
      <bottom>
        <color indexed="63"/>
      </bottom>
    </border>
    <border>
      <left>
        <color indexed="63"/>
      </left>
      <right style="thin"/>
      <top style="thick"/>
      <bottom style="thin"/>
    </border>
    <border>
      <left style="medium"/>
      <right style="medium"/>
      <top style="thick"/>
      <bottom style="thin"/>
    </border>
    <border>
      <left>
        <color indexed="63"/>
      </left>
      <right style="thick"/>
      <top style="thick"/>
      <bottom style="thin"/>
    </border>
    <border>
      <left style="thick"/>
      <right>
        <color indexed="63"/>
      </right>
      <top>
        <color indexed="63"/>
      </top>
      <bottom style="thick"/>
    </border>
    <border>
      <left style="thick"/>
      <right style="thick"/>
      <top style="thin"/>
      <bottom style="thick"/>
    </border>
    <border>
      <left>
        <color indexed="63"/>
      </left>
      <right style="thin"/>
      <top style="thin"/>
      <bottom style="thick"/>
    </border>
    <border>
      <left style="thin"/>
      <right>
        <color indexed="63"/>
      </right>
      <top style="thin"/>
      <bottom style="thick"/>
    </border>
    <border>
      <left style="medium"/>
      <right style="medium"/>
      <top style="thin"/>
      <bottom style="thick"/>
    </border>
    <border>
      <left style="medium"/>
      <right style="thin"/>
      <top style="thin"/>
      <bottom style="thick"/>
    </border>
    <border>
      <left>
        <color indexed="63"/>
      </left>
      <right style="thick"/>
      <top style="thin"/>
      <bottom style="thick"/>
    </border>
    <border>
      <left style="thick"/>
      <right style="thick"/>
      <top style="thick"/>
      <bottom style="thick"/>
    </border>
    <border>
      <left>
        <color indexed="63"/>
      </left>
      <right style="thin"/>
      <top style="thick"/>
      <bottom style="thick"/>
    </border>
    <border>
      <left style="thin"/>
      <right>
        <color indexed="63"/>
      </right>
      <top style="medium"/>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07" fillId="20" borderId="0" applyNumberFormat="0" applyBorder="0" applyAlignment="0" applyProtection="0"/>
    <xf numFmtId="0" fontId="10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114" fillId="0" borderId="7" applyNumberFormat="0" applyFill="0" applyAlignment="0" applyProtection="0"/>
    <xf numFmtId="0" fontId="16" fillId="0" borderId="0" applyNumberFormat="0" applyFill="0" applyBorder="0" applyAlignment="0" applyProtection="0"/>
    <xf numFmtId="0" fontId="115" fillId="24" borderId="0" applyNumberFormat="0" applyBorder="0" applyAlignment="0" applyProtection="0"/>
    <xf numFmtId="165" fontId="1" fillId="25" borderId="0" applyBorder="0">
      <alignment/>
      <protection/>
    </xf>
    <xf numFmtId="165" fontId="2" fillId="25" borderId="0" applyBorder="0">
      <alignment/>
      <protection/>
    </xf>
    <xf numFmtId="164" fontId="1" fillId="25" borderId="0" applyBorder="0">
      <alignment horizontal="left"/>
      <protection/>
    </xf>
    <xf numFmtId="164" fontId="2" fillId="25" borderId="0" applyBorder="0">
      <alignment horizontal="left"/>
      <protection/>
    </xf>
    <xf numFmtId="167" fontId="3" fillId="26" borderId="8">
      <alignment/>
      <protection locked="0"/>
    </xf>
    <xf numFmtId="166" fontId="1" fillId="27" borderId="0" applyBorder="0">
      <alignment horizontal="left"/>
      <protection/>
    </xf>
    <xf numFmtId="166" fontId="2" fillId="27" borderId="0" applyBorder="0">
      <alignment horizontal="left"/>
      <protection/>
    </xf>
    <xf numFmtId="167" fontId="2" fillId="28" borderId="8">
      <alignment/>
      <protection/>
    </xf>
    <xf numFmtId="167" fontId="2" fillId="29" borderId="8">
      <alignment/>
      <protection/>
    </xf>
    <xf numFmtId="0" fontId="0" fillId="30" borderId="9" applyBorder="0">
      <alignment/>
      <protection/>
    </xf>
    <xf numFmtId="1" fontId="1" fillId="30" borderId="0" applyBorder="0">
      <alignment horizontal="left"/>
      <protection/>
    </xf>
    <xf numFmtId="164" fontId="1" fillId="31" borderId="10" applyNumberFormat="0" applyBorder="0">
      <alignment horizontal="center" vertical="center"/>
      <protection/>
    </xf>
    <xf numFmtId="0" fontId="116" fillId="0" borderId="0" applyNumberFormat="0" applyFill="0" applyBorder="0" applyAlignment="0" applyProtection="0"/>
    <xf numFmtId="0" fontId="117" fillId="32" borderId="11" applyNumberFormat="0" applyAlignment="0" applyProtection="0"/>
    <xf numFmtId="0" fontId="118" fillId="33" borderId="11" applyNumberFormat="0" applyAlignment="0" applyProtection="0"/>
    <xf numFmtId="0" fontId="119" fillId="33" borderId="12" applyNumberFormat="0" applyAlignment="0" applyProtection="0"/>
    <xf numFmtId="0" fontId="120" fillId="0" borderId="0" applyNumberFormat="0" applyFill="0" applyBorder="0" applyAlignment="0" applyProtection="0"/>
    <xf numFmtId="0" fontId="105" fillId="34" borderId="0" applyNumberFormat="0" applyBorder="0" applyAlignment="0" applyProtection="0"/>
    <xf numFmtId="0" fontId="105" fillId="35" borderId="0" applyNumberFormat="0" applyBorder="0" applyAlignment="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cellStyleXfs>
  <cellXfs count="1527">
    <xf numFmtId="0" fontId="0" fillId="0" borderId="0" xfId="0" applyAlignment="1">
      <alignment/>
    </xf>
    <xf numFmtId="0" fontId="4" fillId="0" borderId="0" xfId="0" applyFont="1" applyAlignment="1">
      <alignment/>
    </xf>
    <xf numFmtId="164" fontId="0" fillId="0" borderId="13" xfId="55" applyFont="1" applyFill="1" applyBorder="1">
      <alignment horizontal="left"/>
      <protection/>
    </xf>
    <xf numFmtId="164" fontId="0" fillId="0" borderId="0" xfId="55" applyFont="1" applyFill="1" applyBorder="1">
      <alignment horizontal="left"/>
      <protection/>
    </xf>
    <xf numFmtId="166" fontId="0" fillId="0" borderId="0" xfId="58" applyFont="1" applyFill="1" applyBorder="1">
      <alignment horizontal="left"/>
      <protection/>
    </xf>
    <xf numFmtId="0" fontId="0" fillId="0" borderId="0" xfId="0" applyFill="1" applyAlignment="1">
      <alignment/>
    </xf>
    <xf numFmtId="164" fontId="0" fillId="0" borderId="14" xfId="55" applyFont="1" applyFill="1" applyBorder="1">
      <alignment horizontal="left"/>
      <protection/>
    </xf>
    <xf numFmtId="167" fontId="0" fillId="0" borderId="0" xfId="0" applyNumberFormat="1" applyAlignment="1">
      <alignment/>
    </xf>
    <xf numFmtId="164" fontId="4" fillId="0" borderId="0" xfId="54" applyFont="1" applyFill="1" applyBorder="1">
      <alignment horizontal="left"/>
      <protection/>
    </xf>
    <xf numFmtId="167" fontId="4" fillId="0" borderId="0" xfId="0" applyNumberFormat="1" applyFont="1" applyAlignment="1">
      <alignment/>
    </xf>
    <xf numFmtId="0" fontId="0" fillId="0" borderId="0" xfId="0" applyAlignment="1">
      <alignment horizontal="center"/>
    </xf>
    <xf numFmtId="0" fontId="4" fillId="0" borderId="0" xfId="0" applyFont="1" applyAlignment="1">
      <alignment horizontal="center"/>
    </xf>
    <xf numFmtId="167" fontId="4" fillId="0" borderId="0" xfId="0" applyNumberFormat="1" applyFont="1" applyAlignment="1">
      <alignment horizontal="center"/>
    </xf>
    <xf numFmtId="167" fontId="4" fillId="0" borderId="0" xfId="0" applyNumberFormat="1" applyFont="1" applyAlignment="1">
      <alignment horizontal="left"/>
    </xf>
    <xf numFmtId="0" fontId="0" fillId="0" borderId="0" xfId="0" applyAlignment="1">
      <alignment vertical="top" wrapText="1"/>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0" fontId="0" fillId="0" borderId="0" xfId="0" applyFill="1" applyBorder="1" applyAlignment="1">
      <alignment/>
    </xf>
    <xf numFmtId="0" fontId="0" fillId="0" borderId="10" xfId="0" applyFill="1" applyBorder="1" applyAlignment="1">
      <alignment/>
    </xf>
    <xf numFmtId="0" fontId="10" fillId="0" borderId="15" xfId="0" applyFont="1" applyFill="1" applyBorder="1" applyAlignment="1">
      <alignment horizontal="center"/>
    </xf>
    <xf numFmtId="0" fontId="10" fillId="0" borderId="15" xfId="0" applyFont="1" applyFill="1" applyBorder="1" applyAlignment="1">
      <alignment horizontal="centerContinuous"/>
    </xf>
    <xf numFmtId="3" fontId="4" fillId="0" borderId="0" xfId="0" applyNumberFormat="1" applyFont="1" applyAlignment="1">
      <alignment/>
    </xf>
    <xf numFmtId="3" fontId="4" fillId="0" borderId="10" xfId="0" applyNumberFormat="1" applyFont="1" applyBorder="1" applyAlignment="1">
      <alignment/>
    </xf>
    <xf numFmtId="10" fontId="0" fillId="0" borderId="0" xfId="48" applyNumberFormat="1" applyFont="1" applyAlignment="1">
      <alignment/>
    </xf>
    <xf numFmtId="10" fontId="4" fillId="0" borderId="0" xfId="48" applyNumberFormat="1" applyFont="1" applyAlignment="1">
      <alignment/>
    </xf>
    <xf numFmtId="3" fontId="0" fillId="0" borderId="0" xfId="0" applyNumberFormat="1" applyFont="1" applyAlignment="1">
      <alignment/>
    </xf>
    <xf numFmtId="169" fontId="0" fillId="0" borderId="0" xfId="48" applyNumberFormat="1" applyFont="1" applyAlignment="1">
      <alignment/>
    </xf>
    <xf numFmtId="174" fontId="0" fillId="0" borderId="0" xfId="0" applyNumberFormat="1" applyAlignment="1">
      <alignment/>
    </xf>
    <xf numFmtId="167" fontId="5" fillId="0" borderId="0" xfId="56" applyFont="1" applyFill="1" applyBorder="1">
      <alignment/>
      <protection locked="0"/>
    </xf>
    <xf numFmtId="0" fontId="0" fillId="0" borderId="0" xfId="0" applyFill="1" applyBorder="1" applyAlignment="1">
      <alignment/>
    </xf>
    <xf numFmtId="0" fontId="0" fillId="0" borderId="0" xfId="0" applyBorder="1" applyAlignment="1">
      <alignment/>
    </xf>
    <xf numFmtId="167" fontId="0" fillId="0" borderId="0" xfId="0" applyNumberFormat="1" applyBorder="1" applyAlignment="1">
      <alignment/>
    </xf>
    <xf numFmtId="166" fontId="4" fillId="0" borderId="16" xfId="57" applyFont="1" applyFill="1" applyBorder="1">
      <alignment horizontal="left"/>
      <protection/>
    </xf>
    <xf numFmtId="166" fontId="4" fillId="0" borderId="16" xfId="58" applyFont="1" applyFill="1" applyBorder="1">
      <alignment horizontal="left"/>
      <protection/>
    </xf>
    <xf numFmtId="166" fontId="0" fillId="0" borderId="16" xfId="58" applyFont="1" applyFill="1" applyBorder="1">
      <alignment horizontal="left"/>
      <protection/>
    </xf>
    <xf numFmtId="166" fontId="4" fillId="0" borderId="17" xfId="57" applyFont="1" applyFill="1" applyBorder="1">
      <alignment horizontal="left"/>
      <protection/>
    </xf>
    <xf numFmtId="169" fontId="4" fillId="0" borderId="18" xfId="48" applyNumberFormat="1" applyFont="1" applyFill="1" applyBorder="1" applyAlignment="1">
      <alignment/>
    </xf>
    <xf numFmtId="169" fontId="4" fillId="0" borderId="19" xfId="48" applyNumberFormat="1" applyFont="1" applyFill="1" applyBorder="1" applyAlignment="1">
      <alignment/>
    </xf>
    <xf numFmtId="169" fontId="4" fillId="0" borderId="20" xfId="48" applyNumberFormat="1" applyFont="1" applyFill="1" applyBorder="1" applyAlignment="1">
      <alignment/>
    </xf>
    <xf numFmtId="169" fontId="5" fillId="0" borderId="18" xfId="48" applyNumberFormat="1" applyFont="1" applyFill="1" applyBorder="1" applyAlignment="1" applyProtection="1">
      <alignment/>
      <protection locked="0"/>
    </xf>
    <xf numFmtId="169" fontId="5" fillId="0" borderId="19" xfId="48" applyNumberFormat="1" applyFont="1" applyFill="1" applyBorder="1" applyAlignment="1" applyProtection="1">
      <alignment/>
      <protection locked="0"/>
    </xf>
    <xf numFmtId="169" fontId="5" fillId="0" borderId="20" xfId="48" applyNumberFormat="1" applyFont="1" applyFill="1" applyBorder="1" applyAlignment="1" applyProtection="1">
      <alignment/>
      <protection locked="0"/>
    </xf>
    <xf numFmtId="166" fontId="4" fillId="0" borderId="21" xfId="57" applyFont="1" applyFill="1" applyBorder="1">
      <alignment horizontal="left"/>
      <protection/>
    </xf>
    <xf numFmtId="169" fontId="4" fillId="0" borderId="22" xfId="48" applyNumberFormat="1" applyFont="1" applyFill="1" applyBorder="1" applyAlignment="1">
      <alignment/>
    </xf>
    <xf numFmtId="169" fontId="4" fillId="0" borderId="23" xfId="48" applyNumberFormat="1" applyFont="1" applyFill="1" applyBorder="1" applyAlignment="1">
      <alignment/>
    </xf>
    <xf numFmtId="169" fontId="4" fillId="0" borderId="24" xfId="48" applyNumberFormat="1" applyFont="1" applyFill="1" applyBorder="1" applyAlignment="1">
      <alignment/>
    </xf>
    <xf numFmtId="166" fontId="4" fillId="0" borderId="17" xfId="58" applyFont="1" applyFill="1" applyBorder="1">
      <alignment horizontal="left"/>
      <protection/>
    </xf>
    <xf numFmtId="169" fontId="4" fillId="0" borderId="25" xfId="48" applyNumberFormat="1" applyFont="1" applyFill="1" applyBorder="1" applyAlignment="1">
      <alignment/>
    </xf>
    <xf numFmtId="169" fontId="4" fillId="0" borderId="26" xfId="48" applyNumberFormat="1" applyFont="1" applyFill="1" applyBorder="1" applyAlignment="1">
      <alignment/>
    </xf>
    <xf numFmtId="169" fontId="4" fillId="0" borderId="27" xfId="48" applyNumberFormat="1" applyFont="1" applyFill="1" applyBorder="1" applyAlignment="1">
      <alignment/>
    </xf>
    <xf numFmtId="166" fontId="0" fillId="0" borderId="17" xfId="58" applyFont="1" applyFill="1" applyBorder="1">
      <alignment horizontal="left"/>
      <protection/>
    </xf>
    <xf numFmtId="169" fontId="5" fillId="0" borderId="26" xfId="48" applyNumberFormat="1" applyFont="1" applyFill="1" applyBorder="1" applyAlignment="1" applyProtection="1">
      <alignment/>
      <protection locked="0"/>
    </xf>
    <xf numFmtId="169" fontId="5" fillId="0" borderId="27" xfId="48" applyNumberFormat="1" applyFont="1" applyFill="1" applyBorder="1" applyAlignment="1" applyProtection="1">
      <alignment/>
      <protection locked="0"/>
    </xf>
    <xf numFmtId="166" fontId="4" fillId="0" borderId="28" xfId="57" applyFont="1" applyFill="1" applyBorder="1">
      <alignment horizontal="left"/>
      <protection/>
    </xf>
    <xf numFmtId="166" fontId="4" fillId="0" borderId="29" xfId="58" applyFont="1" applyFill="1" applyBorder="1">
      <alignment horizontal="left"/>
      <protection/>
    </xf>
    <xf numFmtId="169" fontId="17" fillId="0" borderId="8" xfId="48" applyNumberFormat="1" applyFont="1" applyFill="1" applyBorder="1" applyAlignment="1" applyProtection="1">
      <alignment/>
      <protection locked="0"/>
    </xf>
    <xf numFmtId="169" fontId="17" fillId="0" borderId="30" xfId="48" applyNumberFormat="1" applyFont="1" applyFill="1" applyBorder="1" applyAlignment="1" applyProtection="1">
      <alignment/>
      <protection locked="0"/>
    </xf>
    <xf numFmtId="166" fontId="0" fillId="0" borderId="31" xfId="58" applyFont="1" applyFill="1" applyBorder="1">
      <alignment horizontal="left"/>
      <protection/>
    </xf>
    <xf numFmtId="169" fontId="5" fillId="0" borderId="32" xfId="48" applyNumberFormat="1" applyFont="1" applyFill="1" applyBorder="1" applyAlignment="1" applyProtection="1">
      <alignment/>
      <protection locked="0"/>
    </xf>
    <xf numFmtId="169" fontId="5" fillId="0" borderId="33" xfId="48" applyNumberFormat="1" applyFont="1" applyFill="1" applyBorder="1" applyAlignment="1" applyProtection="1">
      <alignment/>
      <protection locked="0"/>
    </xf>
    <xf numFmtId="169" fontId="5" fillId="0" borderId="34" xfId="48" applyNumberFormat="1" applyFont="1" applyFill="1" applyBorder="1" applyAlignment="1" applyProtection="1">
      <alignment/>
      <protection locked="0"/>
    </xf>
    <xf numFmtId="169" fontId="4" fillId="0" borderId="8" xfId="48" applyNumberFormat="1" applyFont="1" applyFill="1" applyBorder="1" applyAlignment="1">
      <alignment/>
    </xf>
    <xf numFmtId="169" fontId="4" fillId="0" borderId="30" xfId="48" applyNumberFormat="1" applyFont="1" applyFill="1" applyBorder="1" applyAlignment="1">
      <alignment/>
    </xf>
    <xf numFmtId="166" fontId="4" fillId="0" borderId="35" xfId="58" applyFont="1" applyFill="1" applyBorder="1">
      <alignment horizontal="left"/>
      <protection/>
    </xf>
    <xf numFmtId="169" fontId="4" fillId="0" borderId="36" xfId="48" applyNumberFormat="1" applyFont="1" applyFill="1" applyBorder="1" applyAlignment="1">
      <alignment/>
    </xf>
    <xf numFmtId="169" fontId="4" fillId="0" borderId="37" xfId="48" applyNumberFormat="1" applyFont="1" applyFill="1" applyBorder="1" applyAlignment="1">
      <alignment/>
    </xf>
    <xf numFmtId="169" fontId="4" fillId="0" borderId="38" xfId="48" applyNumberFormat="1" applyFont="1" applyFill="1" applyBorder="1" applyAlignment="1">
      <alignment/>
    </xf>
    <xf numFmtId="169" fontId="4" fillId="0" borderId="39" xfId="48" applyNumberFormat="1" applyFont="1" applyFill="1" applyBorder="1" applyAlignment="1">
      <alignment/>
    </xf>
    <xf numFmtId="169" fontId="4" fillId="0" borderId="40" xfId="48" applyNumberFormat="1" applyFont="1" applyFill="1" applyBorder="1" applyAlignment="1">
      <alignment/>
    </xf>
    <xf numFmtId="169" fontId="5" fillId="0" borderId="41" xfId="48" applyNumberFormat="1" applyFont="1" applyFill="1" applyBorder="1" applyAlignment="1" applyProtection="1">
      <alignment/>
      <protection locked="0"/>
    </xf>
    <xf numFmtId="169" fontId="5" fillId="0" borderId="40" xfId="48" applyNumberFormat="1" applyFont="1" applyFill="1" applyBorder="1" applyAlignment="1" applyProtection="1">
      <alignment/>
      <protection locked="0"/>
    </xf>
    <xf numFmtId="166" fontId="0" fillId="0" borderId="29" xfId="58" applyFont="1" applyFill="1" applyBorder="1">
      <alignment horizontal="left"/>
      <protection/>
    </xf>
    <xf numFmtId="0" fontId="4" fillId="0" borderId="0" xfId="0" applyFont="1" applyFill="1" applyBorder="1" applyAlignment="1">
      <alignment/>
    </xf>
    <xf numFmtId="169" fontId="0" fillId="0" borderId="18" xfId="48" applyNumberFormat="1" applyFont="1" applyFill="1" applyBorder="1" applyAlignment="1">
      <alignment/>
    </xf>
    <xf numFmtId="169" fontId="0" fillId="0" borderId="19" xfId="48" applyNumberFormat="1" applyFont="1" applyFill="1" applyBorder="1" applyAlignment="1">
      <alignment/>
    </xf>
    <xf numFmtId="169" fontId="0" fillId="0" borderId="20" xfId="48" applyNumberFormat="1" applyFont="1" applyFill="1" applyBorder="1" applyAlignment="1">
      <alignment/>
    </xf>
    <xf numFmtId="166" fontId="4" fillId="0" borderId="35" xfId="57" applyFont="1" applyFill="1" applyBorder="1">
      <alignment horizontal="left"/>
      <protection/>
    </xf>
    <xf numFmtId="9" fontId="0" fillId="0" borderId="0" xfId="0" applyNumberFormat="1" applyAlignment="1">
      <alignment/>
    </xf>
    <xf numFmtId="1" fontId="0" fillId="0" borderId="0" xfId="0" applyNumberFormat="1" applyAlignment="1">
      <alignment/>
    </xf>
    <xf numFmtId="9" fontId="0" fillId="0" borderId="0" xfId="48" applyFont="1" applyAlignment="1">
      <alignment/>
    </xf>
    <xf numFmtId="0" fontId="0" fillId="0" borderId="42" xfId="0" applyBorder="1" applyAlignment="1">
      <alignment/>
    </xf>
    <xf numFmtId="166" fontId="4" fillId="0" borderId="0" xfId="57" applyFont="1" applyFill="1" applyBorder="1">
      <alignment horizontal="left"/>
      <protection/>
    </xf>
    <xf numFmtId="0" fontId="0" fillId="0" borderId="0" xfId="0" applyFont="1" applyBorder="1" applyAlignment="1">
      <alignment/>
    </xf>
    <xf numFmtId="10" fontId="0" fillId="0" borderId="0" xfId="0" applyNumberFormat="1" applyBorder="1" applyAlignment="1">
      <alignment/>
    </xf>
    <xf numFmtId="3" fontId="0" fillId="0" borderId="0" xfId="0" applyNumberFormat="1" applyBorder="1" applyAlignment="1">
      <alignment/>
    </xf>
    <xf numFmtId="0" fontId="4" fillId="0" borderId="0" xfId="0" applyFont="1" applyBorder="1" applyAlignment="1">
      <alignment/>
    </xf>
    <xf numFmtId="10" fontId="4" fillId="0" borderId="0" xfId="0" applyNumberFormat="1" applyFont="1" applyBorder="1" applyAlignment="1">
      <alignment/>
    </xf>
    <xf numFmtId="0" fontId="10" fillId="0" borderId="0" xfId="0" applyFont="1" applyBorder="1" applyAlignment="1">
      <alignment/>
    </xf>
    <xf numFmtId="2" fontId="0" fillId="0" borderId="0" xfId="0" applyNumberFormat="1" applyBorder="1" applyAlignment="1">
      <alignment/>
    </xf>
    <xf numFmtId="0" fontId="0" fillId="0" borderId="43" xfId="0" applyBorder="1" applyAlignment="1">
      <alignment/>
    </xf>
    <xf numFmtId="0" fontId="0" fillId="0" borderId="44" xfId="0" applyBorder="1" applyAlignment="1">
      <alignment/>
    </xf>
    <xf numFmtId="3" fontId="0" fillId="0" borderId="45" xfId="0" applyNumberFormat="1" applyBorder="1" applyAlignment="1">
      <alignment/>
    </xf>
    <xf numFmtId="0" fontId="4" fillId="0" borderId="21" xfId="0" applyFont="1" applyBorder="1" applyAlignment="1">
      <alignment/>
    </xf>
    <xf numFmtId="0" fontId="0" fillId="0" borderId="17" xfId="0" applyBorder="1" applyAlignment="1">
      <alignment/>
    </xf>
    <xf numFmtId="3" fontId="0" fillId="0" borderId="8" xfId="0" applyNumberFormat="1" applyBorder="1" applyAlignment="1">
      <alignment/>
    </xf>
    <xf numFmtId="0" fontId="0" fillId="0" borderId="8" xfId="0" applyBorder="1" applyAlignment="1">
      <alignment/>
    </xf>
    <xf numFmtId="3" fontId="0" fillId="0" borderId="39" xfId="0" applyNumberFormat="1" applyBorder="1" applyAlignment="1">
      <alignment/>
    </xf>
    <xf numFmtId="0" fontId="0" fillId="0" borderId="39" xfId="0" applyBorder="1" applyAlignment="1">
      <alignment/>
    </xf>
    <xf numFmtId="0" fontId="0" fillId="0" borderId="29" xfId="0" applyFont="1" applyBorder="1" applyAlignment="1">
      <alignment/>
    </xf>
    <xf numFmtId="0" fontId="0" fillId="0" borderId="29" xfId="0" applyBorder="1" applyAlignment="1">
      <alignment/>
    </xf>
    <xf numFmtId="3" fontId="0" fillId="0" borderId="46" xfId="0" applyNumberFormat="1" applyBorder="1" applyAlignment="1">
      <alignment/>
    </xf>
    <xf numFmtId="3" fontId="0" fillId="0" borderId="30" xfId="0" applyNumberFormat="1" applyBorder="1" applyAlignment="1">
      <alignment/>
    </xf>
    <xf numFmtId="0" fontId="0" fillId="0" borderId="46" xfId="0" applyBorder="1" applyAlignment="1">
      <alignment/>
    </xf>
    <xf numFmtId="0" fontId="4" fillId="0" borderId="47" xfId="0" applyFont="1" applyBorder="1" applyAlignment="1">
      <alignment/>
    </xf>
    <xf numFmtId="0" fontId="0" fillId="0" borderId="0" xfId="0" applyFont="1" applyFill="1" applyBorder="1" applyAlignment="1">
      <alignment/>
    </xf>
    <xf numFmtId="169" fontId="0" fillId="0" borderId="0" xfId="0" applyNumberFormat="1" applyFont="1" applyBorder="1" applyAlignment="1">
      <alignment/>
    </xf>
    <xf numFmtId="0" fontId="0" fillId="0" borderId="8" xfId="0" applyFill="1" applyBorder="1" applyAlignment="1">
      <alignment/>
    </xf>
    <xf numFmtId="0" fontId="4" fillId="0" borderId="8" xfId="0" applyFont="1" applyFill="1" applyBorder="1" applyAlignment="1">
      <alignment/>
    </xf>
    <xf numFmtId="3" fontId="4" fillId="0" borderId="8" xfId="0" applyNumberFormat="1" applyFont="1" applyBorder="1" applyAlignment="1">
      <alignment/>
    </xf>
    <xf numFmtId="0" fontId="0" fillId="0" borderId="48" xfId="0" applyBorder="1" applyAlignment="1">
      <alignment/>
    </xf>
    <xf numFmtId="3" fontId="0" fillId="0" borderId="14" xfId="0" applyNumberFormat="1" applyBorder="1" applyAlignment="1">
      <alignment/>
    </xf>
    <xf numFmtId="0" fontId="4" fillId="0" borderId="48" xfId="0" applyFont="1" applyBorder="1" applyAlignment="1">
      <alignment/>
    </xf>
    <xf numFmtId="3" fontId="4" fillId="0" borderId="14" xfId="0" applyNumberFormat="1" applyFont="1" applyBorder="1" applyAlignment="1">
      <alignment/>
    </xf>
    <xf numFmtId="0" fontId="0" fillId="0" borderId="48" xfId="0" applyFill="1" applyBorder="1" applyAlignment="1">
      <alignment/>
    </xf>
    <xf numFmtId="0" fontId="4" fillId="0" borderId="48" xfId="0" applyFont="1" applyFill="1" applyBorder="1" applyAlignment="1">
      <alignment/>
    </xf>
    <xf numFmtId="10" fontId="0" fillId="0" borderId="8" xfId="0" applyNumberFormat="1" applyBorder="1" applyAlignment="1">
      <alignment/>
    </xf>
    <xf numFmtId="10" fontId="0" fillId="0" borderId="49" xfId="0" applyNumberFormat="1" applyBorder="1" applyAlignment="1">
      <alignment/>
    </xf>
    <xf numFmtId="10" fontId="10" fillId="0" borderId="40" xfId="0" applyNumberFormat="1" applyFont="1" applyBorder="1" applyAlignment="1">
      <alignment/>
    </xf>
    <xf numFmtId="10" fontId="10" fillId="0" borderId="41" xfId="0" applyNumberFormat="1" applyFont="1" applyBorder="1" applyAlignment="1">
      <alignment/>
    </xf>
    <xf numFmtId="10" fontId="0" fillId="0" borderId="50" xfId="0" applyNumberFormat="1" applyBorder="1" applyAlignment="1">
      <alignment/>
    </xf>
    <xf numFmtId="10" fontId="10" fillId="0" borderId="19" xfId="0" applyNumberFormat="1" applyFont="1" applyBorder="1" applyAlignment="1">
      <alignment/>
    </xf>
    <xf numFmtId="10" fontId="10" fillId="0" borderId="33" xfId="0" applyNumberFormat="1" applyFont="1" applyBorder="1" applyAlignment="1">
      <alignment/>
    </xf>
    <xf numFmtId="168" fontId="0" fillId="0" borderId="8" xfId="0" applyNumberFormat="1" applyBorder="1" applyAlignment="1">
      <alignment/>
    </xf>
    <xf numFmtId="0" fontId="0" fillId="0" borderId="36" xfId="0" applyBorder="1" applyAlignment="1">
      <alignment/>
    </xf>
    <xf numFmtId="3" fontId="0" fillId="0" borderId="37" xfId="0" applyNumberFormat="1" applyBorder="1" applyAlignment="1">
      <alignment/>
    </xf>
    <xf numFmtId="3" fontId="0" fillId="0" borderId="51" xfId="0" applyNumberFormat="1" applyBorder="1" applyAlignment="1">
      <alignment/>
    </xf>
    <xf numFmtId="10" fontId="4" fillId="0" borderId="23" xfId="0" applyNumberFormat="1" applyFont="1" applyBorder="1" applyAlignment="1">
      <alignment/>
    </xf>
    <xf numFmtId="10" fontId="0" fillId="0" borderId="52" xfId="0" applyNumberFormat="1" applyBorder="1" applyAlignment="1">
      <alignment/>
    </xf>
    <xf numFmtId="10" fontId="0" fillId="0" borderId="53" xfId="0" applyNumberFormat="1" applyBorder="1" applyAlignment="1">
      <alignment/>
    </xf>
    <xf numFmtId="10" fontId="0" fillId="0" borderId="30" xfId="0" applyNumberFormat="1" applyBorder="1" applyAlignment="1">
      <alignment/>
    </xf>
    <xf numFmtId="10" fontId="0" fillId="0" borderId="54" xfId="0" applyNumberFormat="1" applyBorder="1" applyAlignment="1">
      <alignment/>
    </xf>
    <xf numFmtId="10" fontId="10" fillId="0" borderId="20" xfId="0" applyNumberFormat="1" applyFont="1" applyBorder="1" applyAlignment="1">
      <alignment/>
    </xf>
    <xf numFmtId="10" fontId="10" fillId="0" borderId="34" xfId="0" applyNumberFormat="1" applyFont="1" applyBorder="1" applyAlignment="1">
      <alignment/>
    </xf>
    <xf numFmtId="10" fontId="0" fillId="0" borderId="37" xfId="0" applyNumberFormat="1" applyBorder="1" applyAlignment="1">
      <alignment/>
    </xf>
    <xf numFmtId="10" fontId="0" fillId="0" borderId="38" xfId="0" applyNumberFormat="1" applyBorder="1" applyAlignment="1">
      <alignment/>
    </xf>
    <xf numFmtId="10" fontId="4" fillId="0" borderId="55" xfId="0" applyNumberFormat="1" applyFont="1" applyBorder="1" applyAlignment="1">
      <alignment/>
    </xf>
    <xf numFmtId="10" fontId="0" fillId="0" borderId="56" xfId="0" applyNumberFormat="1" applyBorder="1" applyAlignment="1">
      <alignment/>
    </xf>
    <xf numFmtId="10" fontId="0" fillId="0" borderId="39" xfId="0" applyNumberFormat="1" applyBorder="1" applyAlignment="1">
      <alignment/>
    </xf>
    <xf numFmtId="10" fontId="0" fillId="0" borderId="57" xfId="0" applyNumberFormat="1" applyBorder="1" applyAlignment="1">
      <alignment/>
    </xf>
    <xf numFmtId="0" fontId="0" fillId="0" borderId="28" xfId="0" applyBorder="1" applyAlignment="1">
      <alignment/>
    </xf>
    <xf numFmtId="166" fontId="0" fillId="0" borderId="58" xfId="58" applyFont="1" applyFill="1" applyBorder="1">
      <alignment horizontal="left"/>
      <protection/>
    </xf>
    <xf numFmtId="166" fontId="10" fillId="0" borderId="16" xfId="58" applyFont="1" applyFill="1" applyBorder="1">
      <alignment horizontal="left"/>
      <protection/>
    </xf>
    <xf numFmtId="166" fontId="10" fillId="0" borderId="31" xfId="58" applyFont="1" applyFill="1" applyBorder="1">
      <alignment horizontal="left"/>
      <protection/>
    </xf>
    <xf numFmtId="166" fontId="0" fillId="0" borderId="35" xfId="58" applyFont="1" applyFill="1" applyBorder="1">
      <alignment horizontal="left"/>
      <protection/>
    </xf>
    <xf numFmtId="10" fontId="0" fillId="0" borderId="59" xfId="0" applyNumberFormat="1" applyBorder="1" applyAlignment="1">
      <alignment/>
    </xf>
    <xf numFmtId="10" fontId="0" fillId="0" borderId="48" xfId="0" applyNumberFormat="1" applyBorder="1" applyAlignment="1">
      <alignment/>
    </xf>
    <xf numFmtId="10" fontId="0" fillId="0" borderId="60" xfId="0" applyNumberFormat="1" applyBorder="1" applyAlignment="1">
      <alignment/>
    </xf>
    <xf numFmtId="10" fontId="10" fillId="0" borderId="61" xfId="0" applyNumberFormat="1" applyFont="1" applyBorder="1" applyAlignment="1">
      <alignment/>
    </xf>
    <xf numFmtId="10" fontId="10" fillId="0" borderId="62" xfId="0" applyNumberFormat="1" applyFont="1" applyBorder="1" applyAlignment="1">
      <alignment/>
    </xf>
    <xf numFmtId="10" fontId="0" fillId="0" borderId="51" xfId="0" applyNumberFormat="1" applyBorder="1" applyAlignment="1">
      <alignment/>
    </xf>
    <xf numFmtId="10" fontId="0" fillId="0" borderId="63" xfId="0" applyNumberFormat="1" applyBorder="1" applyAlignment="1">
      <alignment/>
    </xf>
    <xf numFmtId="10" fontId="0" fillId="0" borderId="46" xfId="0" applyNumberFormat="1" applyBorder="1" applyAlignment="1">
      <alignment/>
    </xf>
    <xf numFmtId="10" fontId="0" fillId="0" borderId="64" xfId="0" applyNumberFormat="1" applyBorder="1" applyAlignment="1">
      <alignment/>
    </xf>
    <xf numFmtId="10" fontId="10" fillId="0" borderId="18" xfId="0" applyNumberFormat="1" applyFont="1" applyBorder="1" applyAlignment="1">
      <alignment/>
    </xf>
    <xf numFmtId="10" fontId="10" fillId="0" borderId="32" xfId="0" applyNumberFormat="1" applyFont="1" applyBorder="1" applyAlignment="1">
      <alignment/>
    </xf>
    <xf numFmtId="10" fontId="0" fillId="0" borderId="36" xfId="0" applyNumberFormat="1" applyBorder="1" applyAlignment="1">
      <alignment/>
    </xf>
    <xf numFmtId="10" fontId="4" fillId="0" borderId="65" xfId="0" applyNumberFormat="1" applyFont="1" applyBorder="1" applyAlignment="1">
      <alignment/>
    </xf>
    <xf numFmtId="168" fontId="0" fillId="0" borderId="30" xfId="0" applyNumberFormat="1" applyBorder="1" applyAlignment="1">
      <alignment/>
    </xf>
    <xf numFmtId="168" fontId="0" fillId="0" borderId="37" xfId="0" applyNumberFormat="1" applyBorder="1" applyAlignment="1">
      <alignment/>
    </xf>
    <xf numFmtId="168" fontId="0" fillId="0" borderId="38" xfId="0" applyNumberFormat="1" applyBorder="1" applyAlignment="1">
      <alignment/>
    </xf>
    <xf numFmtId="0" fontId="0" fillId="0" borderId="3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68" fontId="0" fillId="0" borderId="39" xfId="0" applyNumberFormat="1" applyBorder="1" applyAlignment="1">
      <alignment/>
    </xf>
    <xf numFmtId="168" fontId="0" fillId="0" borderId="57" xfId="0" applyNumberFormat="1" applyBorder="1" applyAlignment="1">
      <alignment/>
    </xf>
    <xf numFmtId="0" fontId="0" fillId="0" borderId="31" xfId="0" applyBorder="1" applyAlignment="1">
      <alignment/>
    </xf>
    <xf numFmtId="0" fontId="0" fillId="0" borderId="35" xfId="0" applyBorder="1" applyAlignment="1">
      <alignment/>
    </xf>
    <xf numFmtId="168" fontId="0" fillId="0" borderId="48" xfId="0" applyNumberFormat="1" applyBorder="1" applyAlignment="1">
      <alignment/>
    </xf>
    <xf numFmtId="168" fontId="0" fillId="0" borderId="51" xfId="0" applyNumberFormat="1" applyBorder="1" applyAlignment="1">
      <alignment/>
    </xf>
    <xf numFmtId="168" fontId="0" fillId="0" borderId="46" xfId="0" applyNumberFormat="1" applyBorder="1" applyAlignment="1">
      <alignment/>
    </xf>
    <xf numFmtId="3" fontId="4" fillId="0" borderId="37" xfId="0" applyNumberFormat="1" applyFont="1" applyBorder="1" applyAlignment="1">
      <alignment/>
    </xf>
    <xf numFmtId="3" fontId="4" fillId="0" borderId="57" xfId="0" applyNumberFormat="1" applyFont="1" applyBorder="1" applyAlignment="1">
      <alignment/>
    </xf>
    <xf numFmtId="3" fontId="0" fillId="0" borderId="48" xfId="0" applyNumberFormat="1" applyBorder="1" applyAlignment="1">
      <alignment/>
    </xf>
    <xf numFmtId="3" fontId="4" fillId="0" borderId="51" xfId="0" applyNumberFormat="1" applyFont="1" applyBorder="1" applyAlignment="1">
      <alignment/>
    </xf>
    <xf numFmtId="3" fontId="0" fillId="0" borderId="41" xfId="0" applyNumberFormat="1" applyBorder="1" applyAlignment="1">
      <alignment/>
    </xf>
    <xf numFmtId="3" fontId="0" fillId="0" borderId="33" xfId="0" applyNumberFormat="1" applyBorder="1" applyAlignment="1">
      <alignment/>
    </xf>
    <xf numFmtId="3" fontId="0" fillId="0" borderId="62" xfId="0" applyNumberFormat="1" applyBorder="1" applyAlignment="1">
      <alignment/>
    </xf>
    <xf numFmtId="3" fontId="0" fillId="0" borderId="32" xfId="0" applyNumberFormat="1" applyBorder="1" applyAlignment="1">
      <alignment/>
    </xf>
    <xf numFmtId="3" fontId="0" fillId="0" borderId="34" xfId="0" applyNumberFormat="1" applyBorder="1" applyAlignment="1">
      <alignment/>
    </xf>
    <xf numFmtId="3" fontId="0" fillId="0" borderId="8" xfId="0" applyNumberFormat="1" applyFont="1" applyBorder="1" applyAlignment="1">
      <alignment/>
    </xf>
    <xf numFmtId="167" fontId="5" fillId="0" borderId="19" xfId="56" applyFont="1" applyFill="1" applyBorder="1">
      <alignment/>
      <protection locked="0"/>
    </xf>
    <xf numFmtId="169" fontId="0" fillId="0" borderId="0" xfId="48" applyNumberFormat="1" applyFont="1" applyBorder="1" applyAlignment="1">
      <alignment/>
    </xf>
    <xf numFmtId="169"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xf>
    <xf numFmtId="169" fontId="4" fillId="0" borderId="0" xfId="48" applyNumberFormat="1" applyFont="1" applyBorder="1" applyAlignment="1">
      <alignment/>
    </xf>
    <xf numFmtId="0" fontId="4" fillId="0" borderId="14" xfId="0" applyFont="1" applyBorder="1" applyAlignment="1">
      <alignment/>
    </xf>
    <xf numFmtId="169" fontId="4" fillId="0" borderId="39" xfId="48" applyNumberFormat="1" applyFont="1" applyBorder="1" applyAlignment="1">
      <alignment/>
    </xf>
    <xf numFmtId="169" fontId="0" fillId="0" borderId="40" xfId="48" applyNumberFormat="1" applyFont="1" applyBorder="1" applyAlignment="1">
      <alignment/>
    </xf>
    <xf numFmtId="169" fontId="0" fillId="0" borderId="41" xfId="48" applyNumberFormat="1" applyFont="1" applyBorder="1" applyAlignment="1">
      <alignment/>
    </xf>
    <xf numFmtId="169" fontId="0" fillId="0" borderId="8" xfId="48" applyNumberFormat="1" applyFont="1" applyBorder="1" applyAlignment="1">
      <alignment/>
    </xf>
    <xf numFmtId="0" fontId="4" fillId="0" borderId="8" xfId="0" applyFont="1" applyBorder="1" applyAlignment="1">
      <alignment/>
    </xf>
    <xf numFmtId="169" fontId="4" fillId="0" borderId="8" xfId="48" applyNumberFormat="1" applyFont="1" applyBorder="1" applyAlignment="1">
      <alignment/>
    </xf>
    <xf numFmtId="169" fontId="0" fillId="0" borderId="0" xfId="0" applyNumberFormat="1" applyAlignment="1">
      <alignment/>
    </xf>
    <xf numFmtId="0" fontId="19" fillId="0" borderId="0" xfId="0" applyFont="1" applyFill="1" applyBorder="1" applyAlignment="1">
      <alignment/>
    </xf>
    <xf numFmtId="166" fontId="0" fillId="0" borderId="66" xfId="58" applyFont="1" applyFill="1" applyBorder="1">
      <alignment horizontal="left"/>
      <protection/>
    </xf>
    <xf numFmtId="167" fontId="5" fillId="0" borderId="42" xfId="56" applyFont="1" applyFill="1" applyBorder="1">
      <alignment/>
      <protection locked="0"/>
    </xf>
    <xf numFmtId="167" fontId="5" fillId="0" borderId="16" xfId="56" applyFont="1" applyFill="1" applyBorder="1">
      <alignment/>
      <protection locked="0"/>
    </xf>
    <xf numFmtId="167" fontId="5" fillId="0" borderId="18" xfId="56" applyFont="1" applyFill="1" applyBorder="1">
      <alignment/>
      <protection locked="0"/>
    </xf>
    <xf numFmtId="166" fontId="12" fillId="0" borderId="21" xfId="58" applyFont="1" applyFill="1" applyBorder="1">
      <alignment horizontal="left"/>
      <protection/>
    </xf>
    <xf numFmtId="166" fontId="12" fillId="0" borderId="21" xfId="57" applyFont="1" applyFill="1" applyBorder="1">
      <alignment horizontal="left"/>
      <protection/>
    </xf>
    <xf numFmtId="166" fontId="4" fillId="0" borderId="31" xfId="58" applyFont="1" applyFill="1" applyBorder="1">
      <alignment horizontal="left"/>
      <protection/>
    </xf>
    <xf numFmtId="0" fontId="0" fillId="0" borderId="16" xfId="0" applyBorder="1" applyAlignment="1">
      <alignment/>
    </xf>
    <xf numFmtId="169" fontId="0" fillId="0" borderId="42" xfId="48" applyNumberFormat="1" applyFont="1" applyBorder="1" applyAlignment="1">
      <alignment/>
    </xf>
    <xf numFmtId="169" fontId="0" fillId="0" borderId="45" xfId="48" applyNumberFormat="1" applyFont="1" applyBorder="1" applyAlignment="1">
      <alignment/>
    </xf>
    <xf numFmtId="169" fontId="0" fillId="0" borderId="44" xfId="48" applyNumberFormat="1" applyFont="1" applyBorder="1" applyAlignment="1">
      <alignment/>
    </xf>
    <xf numFmtId="0" fontId="0" fillId="0" borderId="67" xfId="0" applyBorder="1" applyAlignment="1">
      <alignment/>
    </xf>
    <xf numFmtId="169" fontId="0" fillId="0" borderId="68" xfId="48" applyNumberFormat="1" applyFont="1" applyBorder="1" applyAlignment="1">
      <alignment/>
    </xf>
    <xf numFmtId="169" fontId="0" fillId="0" borderId="19" xfId="48" applyNumberFormat="1" applyFont="1" applyBorder="1" applyAlignment="1">
      <alignment/>
    </xf>
    <xf numFmtId="169" fontId="0" fillId="0" borderId="26" xfId="48" applyNumberFormat="1" applyFont="1" applyBorder="1" applyAlignment="1">
      <alignment/>
    </xf>
    <xf numFmtId="169" fontId="0" fillId="0" borderId="33" xfId="48" applyNumberFormat="1" applyFont="1" applyBorder="1" applyAlignment="1">
      <alignment/>
    </xf>
    <xf numFmtId="169" fontId="0" fillId="0" borderId="69" xfId="48" applyNumberFormat="1" applyFont="1" applyBorder="1" applyAlignment="1">
      <alignment/>
    </xf>
    <xf numFmtId="169" fontId="0" fillId="0" borderId="70" xfId="48" applyNumberFormat="1" applyFont="1" applyBorder="1" applyAlignment="1">
      <alignment/>
    </xf>
    <xf numFmtId="169" fontId="0" fillId="0" borderId="71" xfId="48" applyNumberFormat="1" applyFont="1" applyBorder="1" applyAlignment="1">
      <alignment/>
    </xf>
    <xf numFmtId="169" fontId="0" fillId="0" borderId="67" xfId="48" applyNumberFormat="1" applyFont="1" applyBorder="1" applyAlignment="1">
      <alignment/>
    </xf>
    <xf numFmtId="169" fontId="0" fillId="0" borderId="31" xfId="48" applyNumberFormat="1" applyFont="1" applyBorder="1" applyAlignment="1">
      <alignment/>
    </xf>
    <xf numFmtId="169" fontId="0" fillId="0" borderId="16" xfId="48" applyNumberFormat="1" applyFont="1" applyBorder="1" applyAlignment="1">
      <alignment/>
    </xf>
    <xf numFmtId="169" fontId="0" fillId="0" borderId="17" xfId="48" applyNumberFormat="1" applyFont="1" applyBorder="1" applyAlignment="1">
      <alignment/>
    </xf>
    <xf numFmtId="0" fontId="0" fillId="0" borderId="0" xfId="0" applyBorder="1" applyAlignment="1">
      <alignment horizontal="center"/>
    </xf>
    <xf numFmtId="164" fontId="4" fillId="0" borderId="66" xfId="54" applyFont="1" applyFill="1" applyBorder="1">
      <alignment horizontal="left"/>
      <protection/>
    </xf>
    <xf numFmtId="164" fontId="4" fillId="0" borderId="66" xfId="55" applyFont="1" applyFill="1" applyBorder="1">
      <alignment horizontal="left"/>
      <protection/>
    </xf>
    <xf numFmtId="164" fontId="0" fillId="0" borderId="66" xfId="55" applyFont="1" applyFill="1" applyBorder="1">
      <alignment horizontal="left"/>
      <protection/>
    </xf>
    <xf numFmtId="164" fontId="4" fillId="0" borderId="72" xfId="54" applyFont="1" applyFill="1" applyBorder="1">
      <alignment horizontal="left"/>
      <protection/>
    </xf>
    <xf numFmtId="164" fontId="4" fillId="0" borderId="73" xfId="54" applyFont="1" applyFill="1" applyBorder="1">
      <alignment horizontal="left"/>
      <protection/>
    </xf>
    <xf numFmtId="166" fontId="4" fillId="0" borderId="42" xfId="57" applyFont="1" applyFill="1" applyBorder="1">
      <alignment horizontal="left"/>
      <protection/>
    </xf>
    <xf numFmtId="166" fontId="4" fillId="0" borderId="42" xfId="58" applyFont="1" applyFill="1" applyBorder="1">
      <alignment horizontal="left"/>
      <protection/>
    </xf>
    <xf numFmtId="166" fontId="0" fillId="0" borderId="42" xfId="58" applyFont="1" applyFill="1" applyBorder="1">
      <alignment horizontal="left"/>
      <protection/>
    </xf>
    <xf numFmtId="166" fontId="4" fillId="0" borderId="74" xfId="57" applyFont="1" applyFill="1" applyBorder="1">
      <alignment horizontal="left"/>
      <protection/>
    </xf>
    <xf numFmtId="164" fontId="0" fillId="0" borderId="72" xfId="55" applyFont="1" applyFill="1" applyBorder="1">
      <alignment horizontal="left"/>
      <protection/>
    </xf>
    <xf numFmtId="166" fontId="0" fillId="0" borderId="45" xfId="58" applyFont="1" applyFill="1" applyBorder="1">
      <alignment horizontal="left"/>
      <protection/>
    </xf>
    <xf numFmtId="164" fontId="4" fillId="0" borderId="72" xfId="55" applyFont="1" applyFill="1" applyBorder="1">
      <alignment horizontal="left"/>
      <protection/>
    </xf>
    <xf numFmtId="166" fontId="4" fillId="0" borderId="45" xfId="58" applyFont="1" applyFill="1" applyBorder="1">
      <alignment horizontal="left"/>
      <protection/>
    </xf>
    <xf numFmtId="164" fontId="4" fillId="0" borderId="75" xfId="55" applyFont="1" applyFill="1" applyBorder="1">
      <alignment horizontal="left"/>
      <protection/>
    </xf>
    <xf numFmtId="166" fontId="4" fillId="0" borderId="76" xfId="58" applyFont="1" applyFill="1" applyBorder="1">
      <alignment horizontal="left"/>
      <protection/>
    </xf>
    <xf numFmtId="164" fontId="0" fillId="0" borderId="77" xfId="55" applyFont="1" applyFill="1" applyBorder="1">
      <alignment horizontal="left"/>
      <protection/>
    </xf>
    <xf numFmtId="166" fontId="0" fillId="0" borderId="69" xfId="58" applyFont="1" applyFill="1" applyBorder="1">
      <alignment horizontal="left"/>
      <protection/>
    </xf>
    <xf numFmtId="164" fontId="4" fillId="0" borderId="77" xfId="55" applyFont="1" applyFill="1" applyBorder="1">
      <alignment horizontal="left"/>
      <protection/>
    </xf>
    <xf numFmtId="166" fontId="4" fillId="0" borderId="69" xfId="58" applyFont="1" applyFill="1" applyBorder="1">
      <alignment horizontal="left"/>
      <protection/>
    </xf>
    <xf numFmtId="164" fontId="4" fillId="0" borderId="10" xfId="54" applyFont="1" applyFill="1" applyBorder="1">
      <alignment horizontal="left"/>
      <protection/>
    </xf>
    <xf numFmtId="166" fontId="4" fillId="0" borderId="45" xfId="57" applyFont="1" applyFill="1" applyBorder="1">
      <alignment horizontal="left"/>
      <protection/>
    </xf>
    <xf numFmtId="164" fontId="4" fillId="0" borderId="78" xfId="54" applyFont="1" applyFill="1" applyBorder="1">
      <alignment horizontal="left"/>
      <protection/>
    </xf>
    <xf numFmtId="164" fontId="4" fillId="0" borderId="79" xfId="54" applyFont="1" applyFill="1" applyBorder="1">
      <alignment horizontal="left"/>
      <protection/>
    </xf>
    <xf numFmtId="166" fontId="4" fillId="0" borderId="80" xfId="57" applyFont="1" applyFill="1" applyBorder="1">
      <alignment horizontal="left"/>
      <protection/>
    </xf>
    <xf numFmtId="164" fontId="0" fillId="0" borderId="75" xfId="55" applyFont="1" applyFill="1" applyBorder="1">
      <alignment horizontal="left"/>
      <protection/>
    </xf>
    <xf numFmtId="166" fontId="0" fillId="0" borderId="76" xfId="58" applyFont="1" applyFill="1" applyBorder="1">
      <alignment horizontal="left"/>
      <protection/>
    </xf>
    <xf numFmtId="0" fontId="4" fillId="0" borderId="0" xfId="0" applyFont="1" applyAlignment="1">
      <alignment horizontal="left" vertical="top" wrapText="1"/>
    </xf>
    <xf numFmtId="3" fontId="0" fillId="0" borderId="42" xfId="0" applyNumberFormat="1" applyBorder="1" applyAlignment="1">
      <alignment/>
    </xf>
    <xf numFmtId="3" fontId="4" fillId="0" borderId="74" xfId="0" applyNumberFormat="1" applyFont="1" applyBorder="1" applyAlignment="1">
      <alignment/>
    </xf>
    <xf numFmtId="14" fontId="0" fillId="0" borderId="18" xfId="0" applyNumberFormat="1" applyBorder="1" applyAlignment="1">
      <alignment/>
    </xf>
    <xf numFmtId="0" fontId="4" fillId="0" borderId="22" xfId="0" applyFont="1" applyBorder="1" applyAlignment="1">
      <alignment/>
    </xf>
    <xf numFmtId="0" fontId="0" fillId="0" borderId="19" xfId="0" applyBorder="1" applyAlignment="1">
      <alignment/>
    </xf>
    <xf numFmtId="0" fontId="4" fillId="0" borderId="23" xfId="0" applyFont="1" applyBorder="1" applyAlignment="1">
      <alignment/>
    </xf>
    <xf numFmtId="14" fontId="0" fillId="0" borderId="32" xfId="0" applyNumberFormat="1" applyBorder="1" applyAlignment="1">
      <alignment/>
    </xf>
    <xf numFmtId="3" fontId="0" fillId="0" borderId="69" xfId="0" applyNumberFormat="1" applyBorder="1" applyAlignment="1">
      <alignment/>
    </xf>
    <xf numFmtId="0" fontId="0" fillId="0" borderId="72" xfId="0" applyBorder="1" applyAlignment="1">
      <alignment/>
    </xf>
    <xf numFmtId="3" fontId="4" fillId="0" borderId="27" xfId="0" applyNumberFormat="1" applyFont="1" applyBorder="1" applyAlignment="1">
      <alignment/>
    </xf>
    <xf numFmtId="0" fontId="0" fillId="0" borderId="47" xfId="0" applyBorder="1" applyAlignment="1">
      <alignment/>
    </xf>
    <xf numFmtId="0" fontId="0" fillId="0" borderId="15" xfId="0" applyBorder="1" applyAlignment="1">
      <alignment/>
    </xf>
    <xf numFmtId="3" fontId="0" fillId="0" borderId="53" xfId="0" applyNumberFormat="1" applyBorder="1" applyAlignment="1">
      <alignment/>
    </xf>
    <xf numFmtId="0" fontId="4" fillId="0" borderId="0" xfId="0" applyFont="1" applyAlignment="1">
      <alignment vertical="top"/>
    </xf>
    <xf numFmtId="3" fontId="20" fillId="0" borderId="21" xfId="0" applyNumberFormat="1" applyFont="1" applyBorder="1" applyAlignment="1">
      <alignment/>
    </xf>
    <xf numFmtId="0" fontId="0" fillId="0" borderId="0" xfId="0" applyFont="1" applyAlignment="1">
      <alignment/>
    </xf>
    <xf numFmtId="9" fontId="0" fillId="0" borderId="0" xfId="0" applyNumberFormat="1" applyFill="1" applyBorder="1" applyAlignment="1">
      <alignment/>
    </xf>
    <xf numFmtId="0" fontId="0" fillId="0" borderId="66" xfId="0" applyBorder="1" applyAlignment="1">
      <alignment/>
    </xf>
    <xf numFmtId="3" fontId="0" fillId="0" borderId="43" xfId="0" applyNumberFormat="1" applyBorder="1" applyAlignment="1">
      <alignment/>
    </xf>
    <xf numFmtId="3" fontId="0" fillId="0" borderId="44" xfId="0" applyNumberFormat="1" applyBorder="1" applyAlignment="1">
      <alignment/>
    </xf>
    <xf numFmtId="0" fontId="4" fillId="0" borderId="72" xfId="0" applyFont="1" applyBorder="1" applyAlignment="1">
      <alignment/>
    </xf>
    <xf numFmtId="0" fontId="4" fillId="0" borderId="66" xfId="0" applyFont="1" applyBorder="1" applyAlignment="1">
      <alignment/>
    </xf>
    <xf numFmtId="3" fontId="4" fillId="0" borderId="42" xfId="0" applyNumberFormat="1" applyFont="1" applyBorder="1" applyAlignment="1">
      <alignment/>
    </xf>
    <xf numFmtId="172" fontId="0" fillId="0" borderId="0" xfId="0" applyNumberFormat="1" applyBorder="1" applyAlignment="1">
      <alignment/>
    </xf>
    <xf numFmtId="0" fontId="4" fillId="0" borderId="17" xfId="0" applyFont="1" applyBorder="1" applyAlignment="1">
      <alignment/>
    </xf>
    <xf numFmtId="3" fontId="0" fillId="0" borderId="16" xfId="0" applyNumberFormat="1" applyBorder="1" applyAlignment="1">
      <alignment/>
    </xf>
    <xf numFmtId="3" fontId="0" fillId="0" borderId="67" xfId="0" applyNumberFormat="1" applyBorder="1" applyAlignment="1">
      <alignment/>
    </xf>
    <xf numFmtId="3" fontId="4" fillId="0" borderId="17" xfId="0" applyNumberFormat="1" applyFont="1" applyBorder="1" applyAlignment="1">
      <alignment/>
    </xf>
    <xf numFmtId="0" fontId="4" fillId="0" borderId="45" xfId="0" applyFont="1" applyBorder="1" applyAlignment="1">
      <alignment/>
    </xf>
    <xf numFmtId="10" fontId="0" fillId="0" borderId="0" xfId="0" applyNumberFormat="1" applyAlignment="1">
      <alignment/>
    </xf>
    <xf numFmtId="3" fontId="4" fillId="0" borderId="0" xfId="0" applyNumberFormat="1" applyFont="1" applyFill="1" applyBorder="1" applyAlignment="1">
      <alignment/>
    </xf>
    <xf numFmtId="3" fontId="0" fillId="0" borderId="66" xfId="0" applyNumberFormat="1" applyBorder="1" applyAlignment="1">
      <alignment/>
    </xf>
    <xf numFmtId="0" fontId="0" fillId="0" borderId="28" xfId="0" applyFont="1" applyBorder="1" applyAlignment="1">
      <alignment/>
    </xf>
    <xf numFmtId="0" fontId="0" fillId="0" borderId="0" xfId="0" applyAlignment="1">
      <alignment horizontal="right"/>
    </xf>
    <xf numFmtId="0" fontId="0" fillId="0" borderId="8" xfId="0"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23" fillId="0" borderId="47" xfId="0" applyFont="1" applyBorder="1" applyAlignment="1">
      <alignment/>
    </xf>
    <xf numFmtId="0" fontId="23" fillId="0" borderId="63" xfId="0" applyFont="1" applyBorder="1" applyAlignment="1">
      <alignment/>
    </xf>
    <xf numFmtId="0" fontId="22" fillId="0" borderId="81" xfId="0" applyFont="1" applyBorder="1" applyAlignment="1">
      <alignment/>
    </xf>
    <xf numFmtId="0" fontId="22" fillId="0" borderId="18" xfId="0" applyFont="1" applyBorder="1" applyAlignment="1">
      <alignment/>
    </xf>
    <xf numFmtId="10" fontId="22" fillId="0" borderId="0" xfId="48" applyNumberFormat="1" applyFont="1" applyAlignment="1">
      <alignment/>
    </xf>
    <xf numFmtId="0" fontId="22" fillId="0" borderId="66" xfId="0" applyFont="1" applyBorder="1" applyAlignment="1">
      <alignment/>
    </xf>
    <xf numFmtId="0" fontId="22" fillId="0" borderId="77" xfId="0" applyFont="1" applyBorder="1" applyAlignment="1">
      <alignment/>
    </xf>
    <xf numFmtId="0" fontId="22" fillId="0" borderId="32" xfId="0" applyFont="1" applyBorder="1" applyAlignment="1">
      <alignment/>
    </xf>
    <xf numFmtId="0" fontId="23" fillId="0" borderId="78" xfId="0" applyFont="1" applyBorder="1" applyAlignment="1">
      <alignment/>
    </xf>
    <xf numFmtId="0" fontId="23" fillId="0" borderId="18" xfId="0" applyFont="1" applyBorder="1" applyAlignment="1">
      <alignment/>
    </xf>
    <xf numFmtId="0" fontId="23" fillId="0" borderId="73" xfId="0" applyFont="1" applyBorder="1" applyAlignment="1">
      <alignment/>
    </xf>
    <xf numFmtId="0" fontId="23" fillId="0" borderId="22" xfId="0" applyFont="1" applyBorder="1" applyAlignment="1">
      <alignment/>
    </xf>
    <xf numFmtId="173" fontId="0" fillId="0" borderId="63" xfId="48" applyNumberFormat="1" applyFont="1" applyBorder="1" applyAlignment="1">
      <alignment horizontal="center"/>
    </xf>
    <xf numFmtId="173" fontId="0" fillId="0" borderId="52" xfId="0" applyNumberFormat="1" applyBorder="1" applyAlignment="1">
      <alignment horizontal="center"/>
    </xf>
    <xf numFmtId="175" fontId="0" fillId="0" borderId="53" xfId="48" applyNumberFormat="1" applyFont="1" applyBorder="1" applyAlignment="1">
      <alignment horizontal="center"/>
    </xf>
    <xf numFmtId="0" fontId="0" fillId="0" borderId="75" xfId="0" applyBorder="1" applyAlignment="1">
      <alignment/>
    </xf>
    <xf numFmtId="173" fontId="0" fillId="0" borderId="46" xfId="48" applyNumberFormat="1" applyFont="1" applyBorder="1" applyAlignment="1">
      <alignment horizontal="center"/>
    </xf>
    <xf numFmtId="173" fontId="0" fillId="0" borderId="8" xfId="0" applyNumberFormat="1" applyBorder="1" applyAlignment="1">
      <alignment horizontal="center"/>
    </xf>
    <xf numFmtId="175" fontId="0" fillId="0" borderId="30" xfId="48" applyNumberFormat="1" applyFont="1" applyBorder="1" applyAlignment="1">
      <alignment horizontal="center"/>
    </xf>
    <xf numFmtId="0" fontId="0" fillId="0" borderId="78" xfId="0" applyBorder="1" applyAlignment="1">
      <alignment/>
    </xf>
    <xf numFmtId="173" fontId="0" fillId="0" borderId="36" xfId="48" applyNumberFormat="1" applyFont="1" applyBorder="1" applyAlignment="1">
      <alignment horizontal="center"/>
    </xf>
    <xf numFmtId="173" fontId="0" fillId="0" borderId="37" xfId="0" applyNumberFormat="1" applyBorder="1" applyAlignment="1">
      <alignment horizontal="center"/>
    </xf>
    <xf numFmtId="175" fontId="0" fillId="0" borderId="38" xfId="48" applyNumberFormat="1" applyFont="1" applyBorder="1" applyAlignment="1">
      <alignment horizontal="center"/>
    </xf>
    <xf numFmtId="175" fontId="22" fillId="0" borderId="52" xfId="48" applyNumberFormat="1" applyFont="1" applyBorder="1" applyAlignment="1">
      <alignment horizontal="center"/>
    </xf>
    <xf numFmtId="0" fontId="0" fillId="0" borderId="52" xfId="0" applyBorder="1" applyAlignment="1">
      <alignment horizontal="center"/>
    </xf>
    <xf numFmtId="175" fontId="22" fillId="0" borderId="53" xfId="48" applyNumberFormat="1" applyFont="1" applyBorder="1" applyAlignment="1">
      <alignment horizontal="center"/>
    </xf>
    <xf numFmtId="175" fontId="22" fillId="0" borderId="8" xfId="48" applyNumberFormat="1" applyFont="1" applyBorder="1" applyAlignment="1">
      <alignment horizontal="center"/>
    </xf>
    <xf numFmtId="175" fontId="22" fillId="0" borderId="30" xfId="48" applyNumberFormat="1" applyFont="1" applyBorder="1" applyAlignment="1">
      <alignment horizontal="center"/>
    </xf>
    <xf numFmtId="175" fontId="22" fillId="0" borderId="37" xfId="48" applyNumberFormat="1" applyFont="1" applyBorder="1" applyAlignment="1">
      <alignment horizontal="center"/>
    </xf>
    <xf numFmtId="0" fontId="0" fillId="0" borderId="37" xfId="0" applyBorder="1" applyAlignment="1">
      <alignment horizontal="center"/>
    </xf>
    <xf numFmtId="175" fontId="22" fillId="0" borderId="38" xfId="48" applyNumberFormat="1" applyFont="1" applyBorder="1" applyAlignment="1">
      <alignment horizontal="center"/>
    </xf>
    <xf numFmtId="0" fontId="23" fillId="0" borderId="21" xfId="0" applyFont="1" applyBorder="1" applyAlignment="1">
      <alignment/>
    </xf>
    <xf numFmtId="0" fontId="23" fillId="0" borderId="23" xfId="0" applyFont="1" applyBorder="1" applyAlignment="1">
      <alignment horizontal="center"/>
    </xf>
    <xf numFmtId="175" fontId="23" fillId="0" borderId="24" xfId="48" applyNumberFormat="1" applyFont="1" applyBorder="1" applyAlignment="1">
      <alignment horizontal="center"/>
    </xf>
    <xf numFmtId="0" fontId="23" fillId="0" borderId="0" xfId="0" applyFont="1" applyBorder="1" applyAlignment="1">
      <alignment/>
    </xf>
    <xf numFmtId="0" fontId="23" fillId="0" borderId="82" xfId="0" applyFont="1" applyBorder="1" applyAlignment="1">
      <alignment horizontal="center" vertical="top" wrapText="1"/>
    </xf>
    <xf numFmtId="0" fontId="23" fillId="0" borderId="0" xfId="0" applyFont="1" applyBorder="1" applyAlignment="1">
      <alignment horizontal="center"/>
    </xf>
    <xf numFmtId="10" fontId="23" fillId="0" borderId="0" xfId="48" applyNumberFormat="1" applyFont="1" applyBorder="1" applyAlignment="1">
      <alignment horizontal="center"/>
    </xf>
    <xf numFmtId="0" fontId="0" fillId="0" borderId="14" xfId="0" applyBorder="1" applyAlignment="1">
      <alignment/>
    </xf>
    <xf numFmtId="0" fontId="27" fillId="0" borderId="50" xfId="0" applyFont="1" applyBorder="1" applyAlignment="1">
      <alignment/>
    </xf>
    <xf numFmtId="10" fontId="27" fillId="0" borderId="83" xfId="0" applyNumberFormat="1" applyFont="1" applyBorder="1" applyAlignment="1">
      <alignment/>
    </xf>
    <xf numFmtId="0" fontId="0" fillId="0" borderId="49" xfId="0" applyBorder="1" applyAlignment="1">
      <alignment/>
    </xf>
    <xf numFmtId="0" fontId="27" fillId="0" borderId="19" xfId="0" applyFont="1" applyBorder="1" applyAlignment="1">
      <alignment/>
    </xf>
    <xf numFmtId="10" fontId="27" fillId="0" borderId="0" xfId="0" applyNumberFormat="1" applyFont="1" applyBorder="1" applyAlignment="1">
      <alignment/>
    </xf>
    <xf numFmtId="0" fontId="0" fillId="0" borderId="40" xfId="0" applyBorder="1" applyAlignment="1">
      <alignment/>
    </xf>
    <xf numFmtId="0" fontId="0" fillId="0" borderId="13" xfId="0" applyBorder="1" applyAlignment="1">
      <alignment/>
    </xf>
    <xf numFmtId="169" fontId="5" fillId="0" borderId="0" xfId="48" applyNumberFormat="1" applyFont="1" applyFill="1" applyBorder="1" applyAlignment="1" applyProtection="1">
      <alignment/>
      <protection locked="0"/>
    </xf>
    <xf numFmtId="3" fontId="0" fillId="0" borderId="57" xfId="0" applyNumberFormat="1" applyBorder="1" applyAlignment="1">
      <alignment/>
    </xf>
    <xf numFmtId="3" fontId="0" fillId="0" borderId="56" xfId="0" applyNumberFormat="1" applyBorder="1" applyAlignment="1">
      <alignment/>
    </xf>
    <xf numFmtId="3" fontId="0" fillId="0" borderId="52" xfId="0" applyNumberFormat="1" applyBorder="1" applyAlignment="1">
      <alignment/>
    </xf>
    <xf numFmtId="3" fontId="0" fillId="0" borderId="59" xfId="0" applyNumberFormat="1" applyBorder="1" applyAlignment="1">
      <alignment/>
    </xf>
    <xf numFmtId="3" fontId="0" fillId="0" borderId="63" xfId="0" applyNumberFormat="1" applyBorder="1" applyAlignment="1">
      <alignment/>
    </xf>
    <xf numFmtId="0" fontId="0" fillId="0" borderId="71" xfId="0" applyBorder="1" applyAlignment="1">
      <alignment/>
    </xf>
    <xf numFmtId="169" fontId="0" fillId="0" borderId="0" xfId="0" applyNumberFormat="1" applyBorder="1" applyAlignment="1">
      <alignment horizontal="center"/>
    </xf>
    <xf numFmtId="3" fontId="0" fillId="0" borderId="15" xfId="0" applyNumberFormat="1" applyBorder="1" applyAlignment="1">
      <alignment/>
    </xf>
    <xf numFmtId="3" fontId="0" fillId="0" borderId="84" xfId="0" applyNumberFormat="1" applyBorder="1" applyAlignment="1">
      <alignment/>
    </xf>
    <xf numFmtId="166" fontId="4" fillId="0" borderId="28" xfId="58" applyFont="1" applyFill="1" applyBorder="1">
      <alignment horizontal="left"/>
      <protection/>
    </xf>
    <xf numFmtId="169" fontId="0" fillId="0" borderId="0" xfId="48" applyNumberFormat="1" applyFont="1" applyFill="1" applyBorder="1" applyAlignment="1">
      <alignment/>
    </xf>
    <xf numFmtId="10" fontId="0" fillId="0" borderId="0" xfId="48" applyNumberFormat="1" applyFont="1" applyBorder="1" applyAlignment="1">
      <alignment/>
    </xf>
    <xf numFmtId="169" fontId="4" fillId="0" borderId="0" xfId="0" applyNumberFormat="1" applyFont="1" applyFill="1" applyBorder="1" applyAlignment="1">
      <alignment/>
    </xf>
    <xf numFmtId="166" fontId="31" fillId="0" borderId="16" xfId="58" applyFont="1" applyFill="1" applyBorder="1">
      <alignment horizontal="left"/>
      <protection/>
    </xf>
    <xf numFmtId="166" fontId="31" fillId="0" borderId="17" xfId="58" applyFont="1" applyFill="1" applyBorder="1">
      <alignment horizontal="left"/>
      <protection/>
    </xf>
    <xf numFmtId="0" fontId="32" fillId="0" borderId="0" xfId="0" applyFont="1" applyFill="1" applyBorder="1" applyAlignment="1">
      <alignment/>
    </xf>
    <xf numFmtId="1" fontId="4" fillId="0" borderId="16" xfId="62" applyFont="1" applyFill="1" applyBorder="1">
      <alignment horizontal="left"/>
      <protection/>
    </xf>
    <xf numFmtId="166" fontId="4" fillId="0" borderId="43" xfId="57" applyFont="1" applyFill="1" applyBorder="1">
      <alignment horizontal="left"/>
      <protection/>
    </xf>
    <xf numFmtId="167" fontId="4" fillId="0" borderId="43" xfId="59" applyFont="1" applyFill="1" applyBorder="1">
      <alignment/>
      <protection/>
    </xf>
    <xf numFmtId="0" fontId="32" fillId="0" borderId="10" xfId="0" applyFont="1" applyFill="1" applyBorder="1" applyAlignment="1">
      <alignment/>
    </xf>
    <xf numFmtId="167" fontId="4" fillId="0" borderId="10" xfId="59" applyFont="1" applyFill="1" applyBorder="1">
      <alignment/>
      <protection/>
    </xf>
    <xf numFmtId="2" fontId="0" fillId="0" borderId="67" xfId="0" applyNumberFormat="1" applyFont="1" applyBorder="1" applyAlignment="1">
      <alignment/>
    </xf>
    <xf numFmtId="166" fontId="12" fillId="0" borderId="43" xfId="58" applyFont="1" applyFill="1" applyBorder="1">
      <alignment horizontal="left"/>
      <protection/>
    </xf>
    <xf numFmtId="166" fontId="30" fillId="0" borderId="16" xfId="57" applyFont="1" applyFill="1" applyBorder="1">
      <alignment horizontal="left"/>
      <protection/>
    </xf>
    <xf numFmtId="166" fontId="30" fillId="0" borderId="67" xfId="57" applyFont="1" applyFill="1" applyBorder="1">
      <alignment horizontal="left"/>
      <protection/>
    </xf>
    <xf numFmtId="1" fontId="0" fillId="0" borderId="16" xfId="62" applyFont="1" applyFill="1" applyBorder="1">
      <alignment horizontal="left"/>
      <protection/>
    </xf>
    <xf numFmtId="183" fontId="0" fillId="0" borderId="16" xfId="61" applyNumberFormat="1" applyFont="1" applyFill="1" applyBorder="1">
      <alignment/>
      <protection/>
    </xf>
    <xf numFmtId="183" fontId="0" fillId="0" borderId="18" xfId="61" applyNumberFormat="1" applyFont="1" applyFill="1" applyBorder="1">
      <alignment/>
      <protection/>
    </xf>
    <xf numFmtId="183" fontId="0" fillId="0" borderId="40" xfId="61" applyNumberFormat="1" applyFont="1" applyFill="1" applyBorder="1">
      <alignment/>
      <protection/>
    </xf>
    <xf numFmtId="183" fontId="0" fillId="0" borderId="19" xfId="61" applyNumberFormat="1" applyFont="1" applyFill="1" applyBorder="1">
      <alignment/>
      <protection/>
    </xf>
    <xf numFmtId="183" fontId="0" fillId="0" borderId="42" xfId="61" applyNumberFormat="1" applyFont="1" applyFill="1" applyBorder="1">
      <alignment/>
      <protection/>
    </xf>
    <xf numFmtId="183" fontId="4" fillId="29" borderId="16" xfId="60" applyNumberFormat="1" applyFont="1" applyBorder="1">
      <alignment/>
      <protection/>
    </xf>
    <xf numFmtId="183" fontId="4" fillId="29" borderId="18" xfId="60" applyNumberFormat="1" applyFont="1" applyBorder="1">
      <alignment/>
      <protection/>
    </xf>
    <xf numFmtId="183" fontId="4" fillId="29" borderId="40" xfId="60" applyNumberFormat="1" applyFont="1" applyBorder="1">
      <alignment/>
      <protection/>
    </xf>
    <xf numFmtId="183" fontId="4" fillId="29" borderId="19" xfId="60" applyNumberFormat="1" applyFont="1" applyBorder="1">
      <alignment/>
      <protection/>
    </xf>
    <xf numFmtId="183" fontId="4" fillId="29" borderId="42" xfId="60" applyNumberFormat="1" applyFont="1" applyBorder="1">
      <alignment/>
      <protection/>
    </xf>
    <xf numFmtId="183" fontId="0" fillId="29" borderId="16" xfId="60" applyNumberFormat="1" applyFont="1" applyBorder="1">
      <alignment/>
      <protection/>
    </xf>
    <xf numFmtId="183" fontId="0" fillId="29" borderId="18" xfId="60" applyNumberFormat="1" applyFont="1" applyBorder="1">
      <alignment/>
      <protection/>
    </xf>
    <xf numFmtId="183" fontId="0" fillId="29" borderId="40" xfId="60" applyNumberFormat="1" applyFont="1" applyBorder="1">
      <alignment/>
      <protection/>
    </xf>
    <xf numFmtId="183" fontId="0" fillId="29" borderId="19" xfId="60" applyNumberFormat="1" applyFont="1" applyBorder="1">
      <alignment/>
      <protection/>
    </xf>
    <xf numFmtId="183" fontId="0" fillId="29" borderId="42" xfId="60" applyNumberFormat="1" applyFont="1" applyBorder="1">
      <alignment/>
      <protection/>
    </xf>
    <xf numFmtId="183" fontId="4" fillId="29" borderId="31" xfId="60" applyNumberFormat="1" applyFont="1" applyBorder="1">
      <alignment/>
      <protection/>
    </xf>
    <xf numFmtId="183" fontId="4" fillId="29" borderId="32" xfId="60" applyNumberFormat="1" applyFont="1" applyBorder="1">
      <alignment/>
      <protection/>
    </xf>
    <xf numFmtId="183" fontId="4" fillId="29" borderId="41" xfId="60" applyNumberFormat="1" applyFont="1" applyBorder="1">
      <alignment/>
      <protection/>
    </xf>
    <xf numFmtId="183" fontId="4" fillId="29" borderId="33" xfId="60" applyNumberFormat="1" applyFont="1" applyBorder="1">
      <alignment/>
      <protection/>
    </xf>
    <xf numFmtId="183" fontId="4" fillId="29" borderId="69" xfId="60" applyNumberFormat="1" applyFont="1" applyBorder="1">
      <alignment/>
      <protection/>
    </xf>
    <xf numFmtId="183" fontId="0" fillId="29" borderId="31" xfId="60" applyNumberFormat="1" applyFont="1" applyBorder="1">
      <alignment/>
      <protection/>
    </xf>
    <xf numFmtId="183" fontId="0" fillId="29" borderId="32" xfId="60" applyNumberFormat="1" applyFont="1" applyBorder="1">
      <alignment/>
      <protection/>
    </xf>
    <xf numFmtId="183" fontId="0" fillId="29" borderId="41" xfId="60" applyNumberFormat="1" applyFont="1" applyBorder="1">
      <alignment/>
      <protection/>
    </xf>
    <xf numFmtId="183" fontId="0" fillId="29" borderId="33" xfId="60" applyNumberFormat="1" applyFont="1" applyBorder="1">
      <alignment/>
      <protection/>
    </xf>
    <xf numFmtId="183" fontId="0" fillId="29" borderId="69" xfId="60" applyNumberFormat="1" applyFont="1" applyBorder="1">
      <alignment/>
      <protection/>
    </xf>
    <xf numFmtId="183" fontId="4" fillId="29" borderId="35" xfId="60" applyNumberFormat="1" applyFont="1" applyBorder="1">
      <alignment/>
      <protection/>
    </xf>
    <xf numFmtId="183" fontId="4" fillId="29" borderId="36" xfId="60" applyNumberFormat="1" applyFont="1" applyBorder="1">
      <alignment/>
      <protection/>
    </xf>
    <xf numFmtId="183" fontId="4" fillId="29" borderId="57" xfId="60" applyNumberFormat="1" applyFont="1" applyBorder="1">
      <alignment/>
      <protection/>
    </xf>
    <xf numFmtId="183" fontId="4" fillId="29" borderId="37" xfId="60" applyNumberFormat="1" applyFont="1" applyBorder="1">
      <alignment/>
      <protection/>
    </xf>
    <xf numFmtId="183" fontId="4" fillId="29" borderId="80" xfId="60" applyNumberFormat="1" applyFont="1" applyBorder="1">
      <alignment/>
      <protection/>
    </xf>
    <xf numFmtId="183" fontId="0" fillId="0" borderId="67" xfId="61" applyNumberFormat="1" applyFont="1" applyFill="1" applyBorder="1">
      <alignment/>
      <protection/>
    </xf>
    <xf numFmtId="183" fontId="0" fillId="0" borderId="85" xfId="61" applyNumberFormat="1" applyFont="1" applyFill="1" applyBorder="1">
      <alignment/>
      <protection/>
    </xf>
    <xf numFmtId="183" fontId="0" fillId="0" borderId="70" xfId="61" applyNumberFormat="1" applyFont="1" applyFill="1" applyBorder="1">
      <alignment/>
      <protection/>
    </xf>
    <xf numFmtId="183" fontId="0" fillId="0" borderId="68" xfId="61" applyNumberFormat="1" applyFont="1" applyFill="1" applyBorder="1">
      <alignment/>
      <protection/>
    </xf>
    <xf numFmtId="183" fontId="0" fillId="0" borderId="44" xfId="61" applyNumberFormat="1" applyFont="1" applyFill="1" applyBorder="1">
      <alignment/>
      <protection/>
    </xf>
    <xf numFmtId="183" fontId="4" fillId="29" borderId="17" xfId="60" applyNumberFormat="1" applyFont="1" applyBorder="1">
      <alignment/>
      <protection/>
    </xf>
    <xf numFmtId="183" fontId="4" fillId="29" borderId="25" xfId="60" applyNumberFormat="1" applyFont="1" applyBorder="1">
      <alignment/>
      <protection/>
    </xf>
    <xf numFmtId="183" fontId="4" fillId="29" borderId="26" xfId="60" applyNumberFormat="1" applyFont="1" applyBorder="1">
      <alignment/>
      <protection/>
    </xf>
    <xf numFmtId="183" fontId="4" fillId="29" borderId="45" xfId="60" applyNumberFormat="1" applyFont="1" applyBorder="1">
      <alignment/>
      <protection/>
    </xf>
    <xf numFmtId="183" fontId="5" fillId="0" borderId="16" xfId="56" applyNumberFormat="1" applyFont="1" applyFill="1" applyBorder="1">
      <alignment/>
      <protection locked="0"/>
    </xf>
    <xf numFmtId="183" fontId="5" fillId="0" borderId="18" xfId="56" applyNumberFormat="1" applyFont="1" applyFill="1" applyBorder="1">
      <alignment/>
      <protection locked="0"/>
    </xf>
    <xf numFmtId="183" fontId="5" fillId="0" borderId="19" xfId="56" applyNumberFormat="1" applyFont="1" applyFill="1" applyBorder="1">
      <alignment/>
      <protection locked="0"/>
    </xf>
    <xf numFmtId="183" fontId="5" fillId="0" borderId="42" xfId="56" applyNumberFormat="1" applyFont="1" applyFill="1" applyBorder="1">
      <alignment/>
      <protection locked="0"/>
    </xf>
    <xf numFmtId="183" fontId="4" fillId="0" borderId="35" xfId="59" applyNumberFormat="1" applyFont="1" applyFill="1" applyBorder="1">
      <alignment/>
      <protection/>
    </xf>
    <xf numFmtId="183" fontId="4" fillId="0" borderId="36" xfId="59" applyNumberFormat="1" applyFont="1" applyFill="1" applyBorder="1">
      <alignment/>
      <protection/>
    </xf>
    <xf numFmtId="183" fontId="4" fillId="0" borderId="37" xfId="59" applyNumberFormat="1" applyFont="1" applyFill="1" applyBorder="1">
      <alignment/>
      <protection/>
    </xf>
    <xf numFmtId="183" fontId="4" fillId="0" borderId="80" xfId="59" applyNumberFormat="1" applyFont="1" applyFill="1" applyBorder="1">
      <alignment/>
      <protection/>
    </xf>
    <xf numFmtId="183" fontId="5" fillId="0" borderId="31" xfId="56" applyNumberFormat="1" applyFont="1" applyFill="1" applyBorder="1">
      <alignment/>
      <protection locked="0"/>
    </xf>
    <xf numFmtId="183" fontId="5" fillId="0" borderId="32" xfId="56" applyNumberFormat="1" applyFont="1" applyFill="1" applyBorder="1">
      <alignment/>
      <protection locked="0"/>
    </xf>
    <xf numFmtId="183" fontId="5" fillId="0" borderId="33" xfId="56" applyNumberFormat="1" applyFont="1" applyFill="1" applyBorder="1">
      <alignment/>
      <protection locked="0"/>
    </xf>
    <xf numFmtId="183" fontId="5" fillId="0" borderId="69" xfId="56" applyNumberFormat="1" applyFont="1" applyFill="1" applyBorder="1">
      <alignment/>
      <protection locked="0"/>
    </xf>
    <xf numFmtId="183" fontId="4" fillId="0" borderId="22" xfId="0" applyNumberFormat="1" applyFont="1" applyFill="1" applyBorder="1" applyAlignment="1">
      <alignment/>
    </xf>
    <xf numFmtId="183" fontId="4" fillId="0" borderId="23" xfId="0" applyNumberFormat="1" applyFont="1" applyFill="1" applyBorder="1" applyAlignment="1">
      <alignment/>
    </xf>
    <xf numFmtId="183" fontId="4" fillId="0" borderId="74" xfId="0" applyNumberFormat="1" applyFont="1" applyFill="1" applyBorder="1" applyAlignment="1">
      <alignment/>
    </xf>
    <xf numFmtId="183" fontId="4" fillId="0" borderId="16" xfId="59" applyNumberFormat="1" applyFont="1" applyFill="1" applyBorder="1">
      <alignment/>
      <protection/>
    </xf>
    <xf numFmtId="183" fontId="4" fillId="0" borderId="18" xfId="59" applyNumberFormat="1" applyFont="1" applyFill="1" applyBorder="1">
      <alignment/>
      <protection/>
    </xf>
    <xf numFmtId="183" fontId="4" fillId="0" borderId="19" xfId="59" applyNumberFormat="1" applyFont="1" applyFill="1" applyBorder="1">
      <alignment/>
      <protection/>
    </xf>
    <xf numFmtId="183" fontId="4" fillId="0" borderId="42" xfId="59" applyNumberFormat="1" applyFont="1" applyFill="1" applyBorder="1">
      <alignment/>
      <protection/>
    </xf>
    <xf numFmtId="183" fontId="4" fillId="0" borderId="21" xfId="59" applyNumberFormat="1" applyFont="1" applyFill="1" applyBorder="1">
      <alignment/>
      <protection/>
    </xf>
    <xf numFmtId="183" fontId="0" fillId="0" borderId="0" xfId="0" applyNumberFormat="1" applyFill="1" applyBorder="1" applyAlignment="1">
      <alignment/>
    </xf>
    <xf numFmtId="183" fontId="12" fillId="29" borderId="21" xfId="60" applyNumberFormat="1" applyFont="1" applyBorder="1">
      <alignment/>
      <protection/>
    </xf>
    <xf numFmtId="183" fontId="12" fillId="29" borderId="22" xfId="60" applyNumberFormat="1" applyFont="1" applyBorder="1">
      <alignment/>
      <protection/>
    </xf>
    <xf numFmtId="183" fontId="12" fillId="29" borderId="55" xfId="60" applyNumberFormat="1" applyFont="1" applyBorder="1">
      <alignment/>
      <protection/>
    </xf>
    <xf numFmtId="183" fontId="12" fillId="29" borderId="23" xfId="60" applyNumberFormat="1" applyFont="1" applyBorder="1">
      <alignment/>
      <protection/>
    </xf>
    <xf numFmtId="183" fontId="12" fillId="29" borderId="74" xfId="60" applyNumberFormat="1" applyFont="1" applyBorder="1">
      <alignment/>
      <protection/>
    </xf>
    <xf numFmtId="183" fontId="12" fillId="29" borderId="43" xfId="60" applyNumberFormat="1" applyFont="1" applyBorder="1">
      <alignment/>
      <protection/>
    </xf>
    <xf numFmtId="183" fontId="12" fillId="29" borderId="10" xfId="60" applyNumberFormat="1" applyFont="1" applyBorder="1">
      <alignment/>
      <protection/>
    </xf>
    <xf numFmtId="183" fontId="0" fillId="29" borderId="0" xfId="60" applyNumberFormat="1" applyFont="1" applyBorder="1">
      <alignment/>
      <protection/>
    </xf>
    <xf numFmtId="183" fontId="0" fillId="29" borderId="25" xfId="60" applyNumberFormat="1" applyFont="1" applyBorder="1">
      <alignment/>
      <protection/>
    </xf>
    <xf numFmtId="183" fontId="4" fillId="28" borderId="21" xfId="59" applyNumberFormat="1" applyFont="1" applyBorder="1">
      <alignment/>
      <protection/>
    </xf>
    <xf numFmtId="183" fontId="4" fillId="28" borderId="22" xfId="59" applyNumberFormat="1" applyFont="1" applyBorder="1">
      <alignment/>
      <protection/>
    </xf>
    <xf numFmtId="183" fontId="4" fillId="28" borderId="23" xfId="59" applyNumberFormat="1" applyFont="1" applyBorder="1">
      <alignment/>
      <protection/>
    </xf>
    <xf numFmtId="183" fontId="4" fillId="28" borderId="74" xfId="59" applyNumberFormat="1" applyFont="1" applyBorder="1">
      <alignment/>
      <protection/>
    </xf>
    <xf numFmtId="183" fontId="4" fillId="28" borderId="16" xfId="59" applyNumberFormat="1" applyFont="1" applyBorder="1">
      <alignment/>
      <protection/>
    </xf>
    <xf numFmtId="183" fontId="4" fillId="28" borderId="18" xfId="59" applyNumberFormat="1" applyFont="1" applyBorder="1">
      <alignment/>
      <protection/>
    </xf>
    <xf numFmtId="183" fontId="4" fillId="28" borderId="19" xfId="59" applyNumberFormat="1" applyFont="1" applyBorder="1">
      <alignment/>
      <protection/>
    </xf>
    <xf numFmtId="183" fontId="4" fillId="28" borderId="42" xfId="59" applyNumberFormat="1" applyFont="1" applyBorder="1">
      <alignment/>
      <protection/>
    </xf>
    <xf numFmtId="183" fontId="4" fillId="28" borderId="29" xfId="59" applyNumberFormat="1" applyFont="1" applyBorder="1">
      <alignment/>
      <protection/>
    </xf>
    <xf numFmtId="183" fontId="4" fillId="28" borderId="46" xfId="59" applyNumberFormat="1" applyFont="1" applyBorder="1">
      <alignment/>
      <protection/>
    </xf>
    <xf numFmtId="183" fontId="4" fillId="28" borderId="8" xfId="59" applyNumberFormat="1" applyFont="1" applyBorder="1">
      <alignment/>
      <protection/>
    </xf>
    <xf numFmtId="183" fontId="4" fillId="28" borderId="76" xfId="59" applyNumberFormat="1" applyFont="1" applyBorder="1">
      <alignment/>
      <protection/>
    </xf>
    <xf numFmtId="183" fontId="0" fillId="0" borderId="18" xfId="0" applyNumberFormat="1" applyFill="1" applyBorder="1" applyAlignment="1">
      <alignment/>
    </xf>
    <xf numFmtId="183" fontId="0" fillId="0" borderId="19" xfId="0" applyNumberFormat="1" applyFill="1" applyBorder="1" applyAlignment="1">
      <alignment/>
    </xf>
    <xf numFmtId="183" fontId="0" fillId="0" borderId="42" xfId="0" applyNumberFormat="1" applyFill="1" applyBorder="1" applyAlignment="1">
      <alignment/>
    </xf>
    <xf numFmtId="183" fontId="0" fillId="0" borderId="32" xfId="0" applyNumberFormat="1" applyFill="1" applyBorder="1" applyAlignment="1">
      <alignment/>
    </xf>
    <xf numFmtId="183" fontId="0" fillId="0" borderId="33" xfId="0" applyNumberFormat="1" applyFill="1" applyBorder="1" applyAlignment="1">
      <alignment/>
    </xf>
    <xf numFmtId="183" fontId="0" fillId="0" borderId="69" xfId="0" applyNumberFormat="1" applyFill="1" applyBorder="1" applyAlignment="1">
      <alignment/>
    </xf>
    <xf numFmtId="183" fontId="31" fillId="0" borderId="16" xfId="59" applyNumberFormat="1" applyFont="1" applyFill="1" applyBorder="1">
      <alignment/>
      <protection/>
    </xf>
    <xf numFmtId="183" fontId="31" fillId="28" borderId="18" xfId="59" applyNumberFormat="1" applyFont="1" applyBorder="1">
      <alignment/>
      <protection/>
    </xf>
    <xf numFmtId="183" fontId="31" fillId="28" borderId="19" xfId="59" applyNumberFormat="1" applyFont="1" applyBorder="1">
      <alignment/>
      <protection/>
    </xf>
    <xf numFmtId="183" fontId="31" fillId="28" borderId="42" xfId="59" applyNumberFormat="1" applyFont="1" applyBorder="1">
      <alignment/>
      <protection/>
    </xf>
    <xf numFmtId="183" fontId="31" fillId="0" borderId="16" xfId="56" applyNumberFormat="1" applyFont="1" applyFill="1" applyBorder="1">
      <alignment/>
      <protection locked="0"/>
    </xf>
    <xf numFmtId="183" fontId="31" fillId="0" borderId="18" xfId="0" applyNumberFormat="1" applyFont="1" applyFill="1" applyBorder="1" applyAlignment="1">
      <alignment/>
    </xf>
    <xf numFmtId="183" fontId="31" fillId="0" borderId="19" xfId="0" applyNumberFormat="1" applyFont="1" applyFill="1" applyBorder="1" applyAlignment="1">
      <alignment/>
    </xf>
    <xf numFmtId="183" fontId="31" fillId="0" borderId="42" xfId="0" applyNumberFormat="1" applyFont="1" applyFill="1" applyBorder="1" applyAlignment="1">
      <alignment/>
    </xf>
    <xf numFmtId="183" fontId="31" fillId="0" borderId="17" xfId="56" applyNumberFormat="1" applyFont="1" applyFill="1" applyBorder="1">
      <alignment/>
      <protection locked="0"/>
    </xf>
    <xf numFmtId="183" fontId="31" fillId="0" borderId="25" xfId="0" applyNumberFormat="1" applyFont="1" applyFill="1" applyBorder="1" applyAlignment="1">
      <alignment/>
    </xf>
    <xf numFmtId="183" fontId="31" fillId="0" borderId="26" xfId="0" applyNumberFormat="1" applyFont="1" applyFill="1" applyBorder="1" applyAlignment="1">
      <alignment/>
    </xf>
    <xf numFmtId="183" fontId="31" fillId="0" borderId="45" xfId="0" applyNumberFormat="1" applyFont="1" applyFill="1" applyBorder="1" applyAlignment="1">
      <alignment/>
    </xf>
    <xf numFmtId="183" fontId="4" fillId="0" borderId="28" xfId="59" applyNumberFormat="1" applyFont="1" applyFill="1" applyBorder="1">
      <alignment/>
      <protection/>
    </xf>
    <xf numFmtId="183" fontId="4" fillId="28" borderId="63" xfId="59" applyNumberFormat="1" applyFont="1" applyBorder="1">
      <alignment/>
      <protection/>
    </xf>
    <xf numFmtId="183" fontId="4" fillId="28" borderId="52" xfId="59" applyNumberFormat="1" applyFont="1" applyBorder="1">
      <alignment/>
      <protection/>
    </xf>
    <xf numFmtId="183" fontId="4" fillId="28" borderId="84" xfId="59" applyNumberFormat="1" applyFont="1" applyBorder="1">
      <alignment/>
      <protection/>
    </xf>
    <xf numFmtId="183" fontId="17" fillId="0" borderId="21" xfId="56" applyNumberFormat="1" applyFont="1" applyFill="1" applyBorder="1">
      <alignment/>
      <protection locked="0"/>
    </xf>
    <xf numFmtId="183" fontId="17" fillId="0" borderId="0" xfId="56" applyNumberFormat="1" applyFont="1" applyFill="1" applyBorder="1">
      <alignment/>
      <protection locked="0"/>
    </xf>
    <xf numFmtId="183" fontId="4" fillId="0" borderId="0" xfId="0" applyNumberFormat="1" applyFont="1" applyFill="1" applyBorder="1" applyAlignment="1">
      <alignment/>
    </xf>
    <xf numFmtId="183" fontId="4" fillId="28" borderId="55" xfId="59" applyNumberFormat="1" applyFont="1" applyBorder="1">
      <alignment/>
      <protection/>
    </xf>
    <xf numFmtId="183" fontId="4" fillId="28" borderId="56" xfId="59" applyNumberFormat="1" applyFont="1" applyBorder="1">
      <alignment/>
      <protection/>
    </xf>
    <xf numFmtId="183" fontId="17" fillId="0" borderId="29" xfId="56" applyNumberFormat="1" applyFont="1" applyFill="1" applyBorder="1">
      <alignment/>
      <protection locked="0"/>
    </xf>
    <xf numFmtId="183" fontId="4" fillId="28" borderId="40" xfId="59" applyNumberFormat="1" applyFont="1" applyBorder="1">
      <alignment/>
      <protection/>
    </xf>
    <xf numFmtId="183" fontId="0" fillId="0" borderId="41" xfId="0" applyNumberFormat="1" applyFill="1" applyBorder="1" applyAlignment="1">
      <alignment/>
    </xf>
    <xf numFmtId="183" fontId="0" fillId="0" borderId="40" xfId="0" applyNumberFormat="1" applyFill="1" applyBorder="1" applyAlignment="1">
      <alignment/>
    </xf>
    <xf numFmtId="183" fontId="4" fillId="0" borderId="17" xfId="59" applyNumberFormat="1" applyFont="1" applyFill="1" applyBorder="1">
      <alignment/>
      <protection/>
    </xf>
    <xf numFmtId="183" fontId="4" fillId="28" borderId="25" xfId="59" applyNumberFormat="1" applyFont="1" applyBorder="1">
      <alignment/>
      <protection/>
    </xf>
    <xf numFmtId="183" fontId="4" fillId="28" borderId="71" xfId="59" applyNumberFormat="1" applyFont="1" applyBorder="1">
      <alignment/>
      <protection/>
    </xf>
    <xf numFmtId="183" fontId="4" fillId="28" borderId="26" xfId="59" applyNumberFormat="1" applyFont="1" applyBorder="1">
      <alignment/>
      <protection/>
    </xf>
    <xf numFmtId="183" fontId="4" fillId="28" borderId="45" xfId="59" applyNumberFormat="1" applyFont="1" applyBorder="1">
      <alignment/>
      <protection/>
    </xf>
    <xf numFmtId="183" fontId="5" fillId="0" borderId="17" xfId="56" applyNumberFormat="1" applyFont="1" applyFill="1" applyBorder="1">
      <alignment/>
      <protection locked="0"/>
    </xf>
    <xf numFmtId="183" fontId="0" fillId="0" borderId="25" xfId="0" applyNumberFormat="1" applyFill="1" applyBorder="1" applyAlignment="1">
      <alignment/>
    </xf>
    <xf numFmtId="183" fontId="0" fillId="0" borderId="71" xfId="0" applyNumberFormat="1" applyFill="1" applyBorder="1" applyAlignment="1">
      <alignment/>
    </xf>
    <xf numFmtId="183" fontId="0" fillId="0" borderId="26" xfId="0" applyNumberFormat="1" applyFill="1" applyBorder="1" applyAlignment="1">
      <alignment/>
    </xf>
    <xf numFmtId="183" fontId="0" fillId="0" borderId="45" xfId="0" applyNumberFormat="1" applyFill="1" applyBorder="1" applyAlignment="1">
      <alignment/>
    </xf>
    <xf numFmtId="183" fontId="17" fillId="0" borderId="82" xfId="56" applyNumberFormat="1" applyFont="1" applyFill="1" applyBorder="1">
      <alignment/>
      <protection locked="0"/>
    </xf>
    <xf numFmtId="183" fontId="0" fillId="0" borderId="0" xfId="0" applyNumberFormat="1" applyBorder="1" applyAlignment="1">
      <alignment/>
    </xf>
    <xf numFmtId="166" fontId="33" fillId="0" borderId="35" xfId="57" applyFont="1" applyFill="1" applyBorder="1">
      <alignment horizontal="left"/>
      <protection/>
    </xf>
    <xf numFmtId="183" fontId="33" fillId="0" borderId="35" xfId="59" applyNumberFormat="1" applyFont="1" applyFill="1" applyBorder="1">
      <alignment/>
      <protection/>
    </xf>
    <xf numFmtId="183" fontId="33" fillId="0" borderId="36" xfId="59" applyNumberFormat="1" applyFont="1" applyFill="1" applyBorder="1">
      <alignment/>
      <protection/>
    </xf>
    <xf numFmtId="183" fontId="33" fillId="0" borderId="37" xfId="59" applyNumberFormat="1" applyFont="1" applyFill="1" applyBorder="1">
      <alignment/>
      <protection/>
    </xf>
    <xf numFmtId="183" fontId="33" fillId="0" borderId="80" xfId="59" applyNumberFormat="1" applyFont="1" applyFill="1" applyBorder="1">
      <alignment/>
      <protection/>
    </xf>
    <xf numFmtId="166" fontId="33" fillId="0" borderId="21" xfId="57" applyFont="1" applyFill="1" applyBorder="1">
      <alignment horizontal="left"/>
      <protection/>
    </xf>
    <xf numFmtId="183" fontId="33" fillId="0" borderId="21" xfId="59" applyNumberFormat="1" applyFont="1" applyFill="1" applyBorder="1">
      <alignment/>
      <protection/>
    </xf>
    <xf numFmtId="183" fontId="33" fillId="0" borderId="22" xfId="59" applyNumberFormat="1" applyFont="1" applyFill="1" applyBorder="1">
      <alignment/>
      <protection/>
    </xf>
    <xf numFmtId="183" fontId="33" fillId="0" borderId="23" xfId="59" applyNumberFormat="1" applyFont="1" applyFill="1" applyBorder="1">
      <alignment/>
      <protection/>
    </xf>
    <xf numFmtId="183" fontId="33" fillId="0" borderId="74" xfId="59" applyNumberFormat="1" applyFont="1" applyFill="1" applyBorder="1">
      <alignment/>
      <protection/>
    </xf>
    <xf numFmtId="166" fontId="33" fillId="0" borderId="17" xfId="58" applyFont="1" applyFill="1" applyBorder="1">
      <alignment horizontal="left"/>
      <protection/>
    </xf>
    <xf numFmtId="183" fontId="33" fillId="29" borderId="17" xfId="60" applyNumberFormat="1" applyFont="1" applyBorder="1">
      <alignment/>
      <protection/>
    </xf>
    <xf numFmtId="183" fontId="33" fillId="29" borderId="25" xfId="60" applyNumberFormat="1" applyFont="1" applyBorder="1">
      <alignment/>
      <protection/>
    </xf>
    <xf numFmtId="183" fontId="33" fillId="29" borderId="26" xfId="60" applyNumberFormat="1" applyFont="1" applyBorder="1">
      <alignment/>
      <protection/>
    </xf>
    <xf numFmtId="183" fontId="33" fillId="29" borderId="45" xfId="60" applyNumberFormat="1" applyFont="1" applyBorder="1">
      <alignment/>
      <protection/>
    </xf>
    <xf numFmtId="183" fontId="33" fillId="29" borderId="0" xfId="60" applyNumberFormat="1" applyFont="1" applyBorder="1">
      <alignment/>
      <protection/>
    </xf>
    <xf numFmtId="183" fontId="0" fillId="0" borderId="16" xfId="63" applyNumberFormat="1" applyFont="1" applyFill="1" applyBorder="1" applyAlignment="1">
      <alignment horizontal="right" vertical="center"/>
      <protection/>
    </xf>
    <xf numFmtId="183" fontId="0" fillId="0" borderId="18" xfId="63" applyNumberFormat="1" applyFont="1" applyFill="1" applyBorder="1" applyAlignment="1">
      <alignment horizontal="right" vertical="center"/>
      <protection/>
    </xf>
    <xf numFmtId="183" fontId="0" fillId="0" borderId="40" xfId="63" applyNumberFormat="1" applyFont="1" applyFill="1" applyBorder="1" applyAlignment="1">
      <alignment horizontal="right" vertical="center"/>
      <protection/>
    </xf>
    <xf numFmtId="183" fontId="0" fillId="0" borderId="19" xfId="63" applyNumberFormat="1" applyFont="1" applyFill="1" applyBorder="1" applyAlignment="1">
      <alignment horizontal="right" vertical="center"/>
      <protection/>
    </xf>
    <xf numFmtId="183" fontId="0" fillId="0" borderId="42" xfId="63" applyNumberFormat="1" applyFont="1" applyFill="1" applyBorder="1" applyAlignment="1">
      <alignment horizontal="right" vertical="center"/>
      <protection/>
    </xf>
    <xf numFmtId="166" fontId="33" fillId="0" borderId="21" xfId="58" applyFont="1" applyFill="1" applyBorder="1">
      <alignment horizontal="left"/>
      <protection/>
    </xf>
    <xf numFmtId="183" fontId="33" fillId="0" borderId="21" xfId="56" applyNumberFormat="1" applyFont="1" applyFill="1" applyBorder="1">
      <alignment/>
      <protection locked="0"/>
    </xf>
    <xf numFmtId="183" fontId="33" fillId="0" borderId="22" xfId="56" applyNumberFormat="1" applyFont="1" applyFill="1" applyBorder="1">
      <alignment/>
      <protection locked="0"/>
    </xf>
    <xf numFmtId="183" fontId="33" fillId="0" borderId="23" xfId="56" applyNumberFormat="1" applyFont="1" applyFill="1" applyBorder="1">
      <alignment/>
      <protection locked="0"/>
    </xf>
    <xf numFmtId="183" fontId="33" fillId="0" borderId="74" xfId="56" applyNumberFormat="1" applyFont="1" applyFill="1" applyBorder="1">
      <alignment/>
      <protection locked="0"/>
    </xf>
    <xf numFmtId="183" fontId="33" fillId="29" borderId="35" xfId="60" applyNumberFormat="1" applyFont="1" applyBorder="1">
      <alignment/>
      <protection/>
    </xf>
    <xf numFmtId="183" fontId="33" fillId="29" borderId="36" xfId="60" applyNumberFormat="1" applyFont="1" applyBorder="1">
      <alignment/>
      <protection/>
    </xf>
    <xf numFmtId="183" fontId="33" fillId="29" borderId="57" xfId="60" applyNumberFormat="1" applyFont="1" applyBorder="1">
      <alignment/>
      <protection/>
    </xf>
    <xf numFmtId="183" fontId="33" fillId="29" borderId="37" xfId="60" applyNumberFormat="1" applyFont="1" applyBorder="1">
      <alignment/>
      <protection/>
    </xf>
    <xf numFmtId="183" fontId="33" fillId="29" borderId="80" xfId="60" applyNumberFormat="1" applyFont="1" applyBorder="1">
      <alignment/>
      <protection/>
    </xf>
    <xf numFmtId="183" fontId="4" fillId="29" borderId="0" xfId="60" applyNumberFormat="1" applyFont="1" applyBorder="1">
      <alignment/>
      <protection/>
    </xf>
    <xf numFmtId="183" fontId="0" fillId="29" borderId="43" xfId="60" applyNumberFormat="1" applyFont="1" applyBorder="1">
      <alignment/>
      <protection/>
    </xf>
    <xf numFmtId="183" fontId="4" fillId="0" borderId="16" xfId="63" applyNumberFormat="1" applyFont="1" applyFill="1" applyBorder="1" applyAlignment="1">
      <alignment horizontal="right" vertical="center"/>
      <protection/>
    </xf>
    <xf numFmtId="183" fontId="4" fillId="0" borderId="18" xfId="63" applyNumberFormat="1" applyFont="1" applyFill="1" applyBorder="1" applyAlignment="1">
      <alignment horizontal="right" vertical="center"/>
      <protection/>
    </xf>
    <xf numFmtId="183" fontId="4" fillId="0" borderId="40" xfId="63" applyNumberFormat="1" applyFont="1" applyFill="1" applyBorder="1" applyAlignment="1">
      <alignment horizontal="right" vertical="center"/>
      <protection/>
    </xf>
    <xf numFmtId="183" fontId="4" fillId="0" borderId="19" xfId="63" applyNumberFormat="1" applyFont="1" applyFill="1" applyBorder="1" applyAlignment="1">
      <alignment horizontal="right" vertical="center"/>
      <protection/>
    </xf>
    <xf numFmtId="183" fontId="4" fillId="0" borderId="42" xfId="63" applyNumberFormat="1" applyFont="1" applyFill="1" applyBorder="1" applyAlignment="1">
      <alignment horizontal="right" vertical="center"/>
      <protection/>
    </xf>
    <xf numFmtId="1" fontId="0" fillId="0" borderId="31" xfId="62" applyFont="1" applyFill="1" applyBorder="1">
      <alignment horizontal="left"/>
      <protection/>
    </xf>
    <xf numFmtId="183" fontId="0" fillId="0" borderId="31" xfId="63" applyNumberFormat="1" applyFont="1" applyFill="1" applyBorder="1" applyAlignment="1">
      <alignment horizontal="right" vertical="center"/>
      <protection/>
    </xf>
    <xf numFmtId="183" fontId="0" fillId="0" borderId="32" xfId="63" applyNumberFormat="1" applyFont="1" applyFill="1" applyBorder="1" applyAlignment="1">
      <alignment horizontal="right" vertical="center"/>
      <protection/>
    </xf>
    <xf numFmtId="183" fontId="0" fillId="0" borderId="41" xfId="63" applyNumberFormat="1" applyFont="1" applyFill="1" applyBorder="1" applyAlignment="1">
      <alignment horizontal="right" vertical="center"/>
      <protection/>
    </xf>
    <xf numFmtId="183" fontId="0" fillId="0" borderId="33" xfId="63" applyNumberFormat="1" applyFont="1" applyFill="1" applyBorder="1" applyAlignment="1">
      <alignment horizontal="right" vertical="center"/>
      <protection/>
    </xf>
    <xf numFmtId="183" fontId="0" fillId="0" borderId="69" xfId="63" applyNumberFormat="1" applyFont="1" applyFill="1" applyBorder="1" applyAlignment="1">
      <alignment horizontal="right" vertical="center"/>
      <protection/>
    </xf>
    <xf numFmtId="0" fontId="0" fillId="0" borderId="60" xfId="0" applyFill="1" applyBorder="1" applyAlignment="1">
      <alignment/>
    </xf>
    <xf numFmtId="0" fontId="0" fillId="0" borderId="83" xfId="0" applyFill="1" applyBorder="1" applyAlignment="1">
      <alignment/>
    </xf>
    <xf numFmtId="0" fontId="0" fillId="0" borderId="61" xfId="0" applyFill="1" applyBorder="1" applyAlignment="1">
      <alignment/>
    </xf>
    <xf numFmtId="169" fontId="0" fillId="0" borderId="40" xfId="0" applyNumberFormat="1" applyFill="1" applyBorder="1" applyAlignment="1">
      <alignment/>
    </xf>
    <xf numFmtId="0" fontId="0" fillId="0" borderId="62" xfId="0" applyFill="1" applyBorder="1" applyAlignment="1">
      <alignment/>
    </xf>
    <xf numFmtId="0" fontId="0" fillId="0" borderId="13" xfId="0" applyFill="1" applyBorder="1" applyAlignment="1">
      <alignment/>
    </xf>
    <xf numFmtId="169" fontId="0" fillId="0" borderId="41" xfId="0" applyNumberFormat="1" applyFill="1" applyBorder="1" applyAlignment="1">
      <alignment/>
    </xf>
    <xf numFmtId="167" fontId="5" fillId="0" borderId="86" xfId="56" applyFont="1" applyFill="1" applyBorder="1">
      <alignment/>
      <protection locked="0"/>
    </xf>
    <xf numFmtId="166" fontId="10" fillId="0" borderId="0" xfId="57" applyFont="1" applyFill="1" applyBorder="1">
      <alignment horizontal="left"/>
      <protection/>
    </xf>
    <xf numFmtId="184" fontId="0" fillId="0" borderId="16" xfId="0" applyNumberFormat="1" applyBorder="1" applyAlignment="1">
      <alignment/>
    </xf>
    <xf numFmtId="184" fontId="0" fillId="0" borderId="40" xfId="0" applyNumberFormat="1" applyBorder="1" applyAlignment="1">
      <alignment/>
    </xf>
    <xf numFmtId="184" fontId="0" fillId="0" borderId="19" xfId="0" applyNumberFormat="1" applyBorder="1" applyAlignment="1">
      <alignment/>
    </xf>
    <xf numFmtId="184" fontId="0" fillId="0" borderId="42" xfId="0" applyNumberFormat="1" applyBorder="1" applyAlignment="1">
      <alignment/>
    </xf>
    <xf numFmtId="184" fontId="0" fillId="0" borderId="17" xfId="0" applyNumberFormat="1" applyBorder="1" applyAlignment="1">
      <alignment/>
    </xf>
    <xf numFmtId="184" fontId="0" fillId="0" borderId="71" xfId="0" applyNumberFormat="1" applyBorder="1" applyAlignment="1">
      <alignment/>
    </xf>
    <xf numFmtId="184" fontId="0" fillId="0" borderId="26" xfId="0" applyNumberFormat="1" applyBorder="1" applyAlignment="1">
      <alignment/>
    </xf>
    <xf numFmtId="184" fontId="0" fillId="0" borderId="45" xfId="0" applyNumberFormat="1" applyBorder="1" applyAlignment="1">
      <alignment/>
    </xf>
    <xf numFmtId="0" fontId="0" fillId="0" borderId="21" xfId="0" applyFill="1" applyBorder="1" applyAlignment="1">
      <alignment/>
    </xf>
    <xf numFmtId="184" fontId="0" fillId="0" borderId="67" xfId="0" applyNumberFormat="1" applyBorder="1" applyAlignment="1">
      <alignment/>
    </xf>
    <xf numFmtId="184" fontId="0" fillId="0" borderId="70" xfId="0" applyNumberFormat="1" applyBorder="1" applyAlignment="1">
      <alignment/>
    </xf>
    <xf numFmtId="184" fontId="0" fillId="0" borderId="44" xfId="0" applyNumberFormat="1" applyBorder="1" applyAlignment="1">
      <alignment/>
    </xf>
    <xf numFmtId="185" fontId="0" fillId="0" borderId="67" xfId="0" applyNumberFormat="1" applyBorder="1" applyAlignment="1">
      <alignment/>
    </xf>
    <xf numFmtId="185" fontId="0" fillId="0" borderId="70" xfId="0" applyNumberFormat="1" applyBorder="1" applyAlignment="1">
      <alignment/>
    </xf>
    <xf numFmtId="185" fontId="0" fillId="0" borderId="44" xfId="0" applyNumberFormat="1" applyBorder="1" applyAlignment="1">
      <alignment/>
    </xf>
    <xf numFmtId="185" fontId="0" fillId="0" borderId="16" xfId="0" applyNumberFormat="1" applyBorder="1" applyAlignment="1">
      <alignment/>
    </xf>
    <xf numFmtId="185" fontId="0" fillId="0" borderId="40" xfId="0" applyNumberFormat="1" applyBorder="1" applyAlignment="1">
      <alignment/>
    </xf>
    <xf numFmtId="185" fontId="0" fillId="0" borderId="42" xfId="0" applyNumberFormat="1" applyBorder="1" applyAlignment="1">
      <alignment/>
    </xf>
    <xf numFmtId="185" fontId="0" fillId="0" borderId="17" xfId="0" applyNumberFormat="1" applyBorder="1" applyAlignment="1">
      <alignment/>
    </xf>
    <xf numFmtId="185" fontId="0" fillId="0" borderId="71" xfId="0" applyNumberFormat="1" applyBorder="1" applyAlignment="1">
      <alignment/>
    </xf>
    <xf numFmtId="185" fontId="0" fillId="0" borderId="45" xfId="0" applyNumberFormat="1" applyBorder="1" applyAlignment="1">
      <alignment/>
    </xf>
    <xf numFmtId="184" fontId="0" fillId="0" borderId="68" xfId="0" applyNumberFormat="1" applyBorder="1" applyAlignment="1">
      <alignment/>
    </xf>
    <xf numFmtId="183" fontId="4" fillId="0" borderId="43" xfId="59" applyNumberFormat="1" applyFont="1" applyFill="1" applyBorder="1">
      <alignment/>
      <protection/>
    </xf>
    <xf numFmtId="183" fontId="4" fillId="0" borderId="10" xfId="59" applyNumberFormat="1" applyFont="1" applyFill="1" applyBorder="1">
      <alignment/>
      <protection/>
    </xf>
    <xf numFmtId="0" fontId="13" fillId="0" borderId="0" xfId="0" applyFont="1" applyAlignment="1">
      <alignment/>
    </xf>
    <xf numFmtId="14" fontId="0" fillId="0" borderId="0" xfId="0" applyNumberFormat="1" applyFill="1" applyAlignment="1">
      <alignment/>
    </xf>
    <xf numFmtId="0" fontId="35" fillId="0" borderId="0" xfId="0" applyFont="1" applyAlignment="1">
      <alignment/>
    </xf>
    <xf numFmtId="3" fontId="0" fillId="0" borderId="31" xfId="0" applyNumberFormat="1" applyBorder="1" applyAlignment="1">
      <alignment/>
    </xf>
    <xf numFmtId="3" fontId="0" fillId="0" borderId="13" xfId="0" applyNumberFormat="1" applyBorder="1" applyAlignment="1">
      <alignment/>
    </xf>
    <xf numFmtId="3" fontId="0" fillId="0" borderId="0" xfId="0" applyNumberFormat="1" applyFill="1" applyBorder="1" applyAlignment="1">
      <alignment/>
    </xf>
    <xf numFmtId="188" fontId="0" fillId="0" borderId="0" xfId="0" applyNumberFormat="1" applyAlignment="1">
      <alignment/>
    </xf>
    <xf numFmtId="183" fontId="0" fillId="0" borderId="16" xfId="59" applyNumberFormat="1" applyFont="1" applyFill="1" applyBorder="1">
      <alignment/>
      <protection/>
    </xf>
    <xf numFmtId="183" fontId="0" fillId="28" borderId="18" xfId="59" applyNumberFormat="1" applyFont="1" applyBorder="1">
      <alignment/>
      <protection/>
    </xf>
    <xf numFmtId="183" fontId="0" fillId="28" borderId="19" xfId="59" applyNumberFormat="1" applyFont="1" applyBorder="1">
      <alignment/>
      <protection/>
    </xf>
    <xf numFmtId="183" fontId="0" fillId="28" borderId="42" xfId="59" applyNumberFormat="1" applyFont="1" applyBorder="1">
      <alignment/>
      <protection/>
    </xf>
    <xf numFmtId="183" fontId="4" fillId="0" borderId="46" xfId="0" applyNumberFormat="1" applyFont="1" applyFill="1" applyBorder="1" applyAlignment="1">
      <alignment/>
    </xf>
    <xf numFmtId="183" fontId="4" fillId="0" borderId="39" xfId="0" applyNumberFormat="1" applyFont="1" applyFill="1" applyBorder="1" applyAlignment="1">
      <alignment/>
    </xf>
    <xf numFmtId="183" fontId="4" fillId="0" borderId="8" xfId="0" applyNumberFormat="1" applyFont="1" applyFill="1" applyBorder="1" applyAlignment="1">
      <alignment/>
    </xf>
    <xf numFmtId="183" fontId="4" fillId="0" borderId="76" xfId="0" applyNumberFormat="1" applyFont="1" applyFill="1" applyBorder="1" applyAlignment="1">
      <alignment/>
    </xf>
    <xf numFmtId="183" fontId="4" fillId="0" borderId="18" xfId="0" applyNumberFormat="1" applyFont="1" applyFill="1" applyBorder="1" applyAlignment="1">
      <alignment/>
    </xf>
    <xf numFmtId="183" fontId="4" fillId="0" borderId="40" xfId="0" applyNumberFormat="1" applyFont="1" applyFill="1" applyBorder="1" applyAlignment="1">
      <alignment/>
    </xf>
    <xf numFmtId="183" fontId="4" fillId="0" borderId="19" xfId="0" applyNumberFormat="1" applyFont="1" applyFill="1" applyBorder="1" applyAlignment="1">
      <alignment/>
    </xf>
    <xf numFmtId="183" fontId="4" fillId="0" borderId="42" xfId="0" applyNumberFormat="1" applyFont="1" applyFill="1" applyBorder="1" applyAlignment="1">
      <alignment/>
    </xf>
    <xf numFmtId="0" fontId="33" fillId="0" borderId="0" xfId="0" applyFont="1" applyFill="1" applyBorder="1" applyAlignment="1">
      <alignment/>
    </xf>
    <xf numFmtId="0" fontId="11" fillId="0" borderId="15" xfId="0" applyFont="1" applyFill="1" applyBorder="1" applyAlignment="1">
      <alignment horizontal="center"/>
    </xf>
    <xf numFmtId="0" fontId="33" fillId="0" borderId="10" xfId="0" applyFont="1" applyFill="1" applyBorder="1" applyAlignment="1">
      <alignment/>
    </xf>
    <xf numFmtId="0" fontId="37"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3" fontId="4" fillId="0" borderId="16" xfId="0" applyNumberFormat="1" applyFont="1" applyBorder="1" applyAlignment="1">
      <alignment/>
    </xf>
    <xf numFmtId="3" fontId="0" fillId="0" borderId="40" xfId="0" applyNumberFormat="1" applyBorder="1" applyAlignment="1">
      <alignment/>
    </xf>
    <xf numFmtId="169" fontId="10" fillId="0" borderId="40" xfId="48" applyNumberFormat="1" applyFont="1" applyBorder="1" applyAlignment="1">
      <alignment/>
    </xf>
    <xf numFmtId="169" fontId="10" fillId="0" borderId="70" xfId="48" applyNumberFormat="1" applyFont="1" applyBorder="1" applyAlignment="1">
      <alignment/>
    </xf>
    <xf numFmtId="169" fontId="10" fillId="0" borderId="71" xfId="48" applyNumberFormat="1" applyFont="1" applyBorder="1" applyAlignment="1">
      <alignment/>
    </xf>
    <xf numFmtId="3" fontId="4" fillId="0" borderId="66" xfId="0" applyNumberFormat="1" applyFont="1" applyBorder="1" applyAlignment="1">
      <alignment horizontal="center"/>
    </xf>
    <xf numFmtId="3" fontId="4" fillId="0" borderId="87" xfId="0" applyNumberFormat="1" applyFont="1" applyBorder="1" applyAlignment="1">
      <alignment horizontal="center"/>
    </xf>
    <xf numFmtId="169" fontId="10" fillId="0" borderId="42" xfId="48" applyNumberFormat="1" applyFont="1" applyBorder="1" applyAlignment="1">
      <alignment/>
    </xf>
    <xf numFmtId="169" fontId="10" fillId="0" borderId="45" xfId="48" applyNumberFormat="1" applyFont="1" applyBorder="1" applyAlignment="1">
      <alignment/>
    </xf>
    <xf numFmtId="3" fontId="0" fillId="0" borderId="70" xfId="0" applyNumberFormat="1" applyBorder="1" applyAlignment="1">
      <alignment/>
    </xf>
    <xf numFmtId="3" fontId="0" fillId="0" borderId="61" xfId="0" applyNumberFormat="1" applyBorder="1" applyAlignment="1">
      <alignment/>
    </xf>
    <xf numFmtId="3" fontId="0" fillId="0" borderId="68" xfId="0" applyNumberFormat="1" applyBorder="1" applyAlignment="1">
      <alignment/>
    </xf>
    <xf numFmtId="3" fontId="0" fillId="0" borderId="19" xfId="0" applyNumberFormat="1" applyBorder="1" applyAlignment="1">
      <alignment/>
    </xf>
    <xf numFmtId="3" fontId="0" fillId="0" borderId="26" xfId="0" applyNumberFormat="1" applyBorder="1" applyAlignment="1">
      <alignment/>
    </xf>
    <xf numFmtId="3" fontId="0" fillId="0" borderId="87" xfId="0" applyNumberFormat="1" applyBorder="1" applyAlignment="1">
      <alignment/>
    </xf>
    <xf numFmtId="3" fontId="0" fillId="0" borderId="72" xfId="0" applyNumberFormat="1" applyBorder="1" applyAlignment="1">
      <alignment/>
    </xf>
    <xf numFmtId="3" fontId="0" fillId="0" borderId="87" xfId="0" applyNumberFormat="1" applyFont="1" applyBorder="1" applyAlignment="1">
      <alignment horizontal="center"/>
    </xf>
    <xf numFmtId="3" fontId="0" fillId="0" borderId="66" xfId="0" applyNumberFormat="1" applyFont="1" applyBorder="1" applyAlignment="1">
      <alignment horizontal="center"/>
    </xf>
    <xf numFmtId="3" fontId="0" fillId="0" borderId="43" xfId="0" applyNumberFormat="1" applyBorder="1" applyAlignment="1">
      <alignment horizontal="center"/>
    </xf>
    <xf numFmtId="3" fontId="0" fillId="0" borderId="40" xfId="0" applyNumberFormat="1" applyBorder="1" applyAlignment="1">
      <alignment horizontal="center"/>
    </xf>
    <xf numFmtId="3" fontId="0" fillId="0" borderId="0" xfId="0" applyNumberFormat="1" applyBorder="1" applyAlignment="1">
      <alignment horizontal="center"/>
    </xf>
    <xf numFmtId="0" fontId="4" fillId="40" borderId="22" xfId="0" applyFont="1" applyFill="1" applyBorder="1" applyAlignment="1">
      <alignment horizontal="center" vertical="top" wrapText="1"/>
    </xf>
    <xf numFmtId="0" fontId="4" fillId="40" borderId="82" xfId="0" applyFont="1" applyFill="1" applyBorder="1" applyAlignment="1">
      <alignment horizontal="center" vertical="top" wrapText="1"/>
    </xf>
    <xf numFmtId="0" fontId="14" fillId="40" borderId="55" xfId="0" applyFont="1" applyFill="1" applyBorder="1" applyAlignment="1">
      <alignment horizontal="center" vertical="top" wrapText="1"/>
    </xf>
    <xf numFmtId="0" fontId="4" fillId="40" borderId="74" xfId="0" applyFont="1" applyFill="1" applyBorder="1" applyAlignment="1">
      <alignment horizontal="center" vertical="top" wrapText="1"/>
    </xf>
    <xf numFmtId="0" fontId="4" fillId="40" borderId="73" xfId="0" applyFont="1" applyFill="1" applyBorder="1" applyAlignment="1">
      <alignment horizontal="center" vertical="top" wrapText="1"/>
    </xf>
    <xf numFmtId="0" fontId="14" fillId="40" borderId="74" xfId="0" applyFont="1" applyFill="1" applyBorder="1" applyAlignment="1">
      <alignment horizontal="center" vertical="top" wrapText="1"/>
    </xf>
    <xf numFmtId="0" fontId="4" fillId="40" borderId="23" xfId="0" applyFont="1" applyFill="1" applyBorder="1" applyAlignment="1">
      <alignment horizontal="center" vertical="top" wrapText="1"/>
    </xf>
    <xf numFmtId="0" fontId="4" fillId="0" borderId="18" xfId="0" applyFont="1" applyBorder="1" applyAlignment="1">
      <alignment horizontal="center"/>
    </xf>
    <xf numFmtId="0" fontId="4" fillId="0" borderId="85" xfId="0" applyFont="1" applyBorder="1" applyAlignment="1">
      <alignment horizontal="center"/>
    </xf>
    <xf numFmtId="0" fontId="4" fillId="0" borderId="25" xfId="0" applyFont="1" applyBorder="1" applyAlignment="1">
      <alignment horizontal="center"/>
    </xf>
    <xf numFmtId="0" fontId="10" fillId="0" borderId="0" xfId="0" applyFont="1" applyBorder="1" applyAlignment="1">
      <alignment vertical="center"/>
    </xf>
    <xf numFmtId="0" fontId="12" fillId="40" borderId="73" xfId="0" applyFont="1" applyFill="1" applyBorder="1" applyAlignment="1">
      <alignment/>
    </xf>
    <xf numFmtId="0" fontId="12" fillId="40" borderId="74" xfId="0" applyFont="1" applyFill="1" applyBorder="1" applyAlignment="1">
      <alignment/>
    </xf>
    <xf numFmtId="173" fontId="12" fillId="40" borderId="82" xfId="0" applyNumberFormat="1" applyFont="1" applyFill="1" applyBorder="1" applyAlignment="1">
      <alignment horizontal="center"/>
    </xf>
    <xf numFmtId="173" fontId="12" fillId="40" borderId="55" xfId="0" applyNumberFormat="1" applyFont="1" applyFill="1" applyBorder="1" applyAlignment="1">
      <alignment/>
    </xf>
    <xf numFmtId="3" fontId="33" fillId="0" borderId="43" xfId="0" applyNumberFormat="1" applyFont="1" applyBorder="1" applyAlignment="1">
      <alignment horizontal="center"/>
    </xf>
    <xf numFmtId="3" fontId="33" fillId="0" borderId="0" xfId="0" applyNumberFormat="1" applyFont="1" applyBorder="1" applyAlignment="1">
      <alignment horizontal="center"/>
    </xf>
    <xf numFmtId="169" fontId="0" fillId="0" borderId="10" xfId="48" applyNumberFormat="1" applyFont="1" applyBorder="1" applyAlignment="1">
      <alignment horizontal="center"/>
    </xf>
    <xf numFmtId="0" fontId="0" fillId="0" borderId="87" xfId="0" applyBorder="1" applyAlignment="1">
      <alignment/>
    </xf>
    <xf numFmtId="0" fontId="0" fillId="0" borderId="43" xfId="0" applyBorder="1" applyAlignment="1">
      <alignment horizontal="center"/>
    </xf>
    <xf numFmtId="3" fontId="0" fillId="0" borderId="42" xfId="0" applyNumberFormat="1" applyFont="1" applyBorder="1" applyAlignment="1">
      <alignment/>
    </xf>
    <xf numFmtId="3" fontId="0" fillId="0" borderId="18" xfId="0" applyNumberFormat="1" applyFont="1" applyBorder="1" applyAlignment="1">
      <alignment/>
    </xf>
    <xf numFmtId="3" fontId="0" fillId="0" borderId="85" xfId="0" applyNumberFormat="1" applyBorder="1" applyAlignment="1">
      <alignment/>
    </xf>
    <xf numFmtId="3" fontId="0" fillId="0" borderId="18" xfId="0" applyNumberFormat="1" applyBorder="1" applyAlignment="1">
      <alignment/>
    </xf>
    <xf numFmtId="3" fontId="0" fillId="0" borderId="25" xfId="0" applyNumberFormat="1" applyBorder="1" applyAlignment="1">
      <alignment/>
    </xf>
    <xf numFmtId="169" fontId="0" fillId="0" borderId="18" xfId="48" applyNumberFormat="1" applyFont="1" applyBorder="1" applyAlignment="1">
      <alignment/>
    </xf>
    <xf numFmtId="169" fontId="0" fillId="0" borderId="25" xfId="48" applyNumberFormat="1" applyFont="1" applyBorder="1" applyAlignment="1">
      <alignment/>
    </xf>
    <xf numFmtId="169" fontId="0" fillId="0" borderId="85" xfId="48" applyNumberFormat="1" applyFont="1" applyBorder="1" applyAlignment="1">
      <alignment/>
    </xf>
    <xf numFmtId="168" fontId="0" fillId="0" borderId="19" xfId="0" applyNumberFormat="1" applyFont="1" applyBorder="1" applyAlignment="1">
      <alignment/>
    </xf>
    <xf numFmtId="168" fontId="0" fillId="0" borderId="26" xfId="0" applyNumberFormat="1" applyFont="1" applyBorder="1" applyAlignment="1">
      <alignment/>
    </xf>
    <xf numFmtId="168" fontId="0" fillId="0" borderId="68" xfId="0" applyNumberFormat="1" applyFont="1" applyBorder="1" applyAlignment="1">
      <alignment/>
    </xf>
    <xf numFmtId="0" fontId="10" fillId="0" borderId="45" xfId="0" applyFont="1" applyBorder="1" applyAlignment="1">
      <alignment horizontal="center"/>
    </xf>
    <xf numFmtId="0" fontId="10" fillId="0" borderId="44" xfId="0" applyFont="1" applyBorder="1" applyAlignment="1">
      <alignment horizontal="center"/>
    </xf>
    <xf numFmtId="0" fontId="10" fillId="0" borderId="42" xfId="0" applyFont="1" applyBorder="1" applyAlignment="1">
      <alignment horizontal="center"/>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67" xfId="0" applyFont="1" applyBorder="1" applyAlignment="1">
      <alignment horizontal="center"/>
    </xf>
    <xf numFmtId="0" fontId="4" fillId="40" borderId="21" xfId="0" applyFont="1" applyFill="1" applyBorder="1" applyAlignment="1">
      <alignment horizontal="center" vertical="top" wrapText="1"/>
    </xf>
    <xf numFmtId="0" fontId="0" fillId="0" borderId="0" xfId="0" applyAlignment="1">
      <alignment vertical="center" wrapText="1"/>
    </xf>
    <xf numFmtId="0" fontId="4" fillId="0" borderId="0" xfId="0" applyFont="1" applyAlignment="1">
      <alignment vertical="center"/>
    </xf>
    <xf numFmtId="0" fontId="20" fillId="0" borderId="0" xfId="0" applyFont="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167" fontId="4" fillId="0" borderId="0" xfId="0" applyNumberFormat="1" applyFont="1" applyFill="1" applyBorder="1" applyAlignment="1">
      <alignment horizontal="center"/>
    </xf>
    <xf numFmtId="167" fontId="4" fillId="0" borderId="0" xfId="0" applyNumberFormat="1" applyFont="1" applyFill="1" applyBorder="1" applyAlignment="1">
      <alignment/>
    </xf>
    <xf numFmtId="167" fontId="17" fillId="0" borderId="46" xfId="56" applyFont="1" applyFill="1" applyBorder="1">
      <alignment/>
      <protection locked="0"/>
    </xf>
    <xf numFmtId="167" fontId="17" fillId="0" borderId="8" xfId="56" applyFont="1" applyFill="1" applyBorder="1">
      <alignment/>
      <protection locked="0"/>
    </xf>
    <xf numFmtId="167" fontId="17" fillId="0" borderId="76" xfId="56" applyFont="1" applyFill="1" applyBorder="1">
      <alignment/>
      <protection locked="0"/>
    </xf>
    <xf numFmtId="167" fontId="4" fillId="0" borderId="18" xfId="59" applyFont="1" applyFill="1" applyBorder="1">
      <alignment/>
      <protection/>
    </xf>
    <xf numFmtId="167" fontId="4" fillId="0" borderId="19" xfId="59" applyFont="1" applyFill="1" applyBorder="1">
      <alignment/>
      <protection/>
    </xf>
    <xf numFmtId="167" fontId="4" fillId="0" borderId="42" xfId="59" applyFont="1" applyFill="1" applyBorder="1">
      <alignment/>
      <protection/>
    </xf>
    <xf numFmtId="167" fontId="5" fillId="0" borderId="32" xfId="56" applyFont="1" applyFill="1" applyBorder="1">
      <alignment/>
      <protection locked="0"/>
    </xf>
    <xf numFmtId="167" fontId="5" fillId="0" borderId="33" xfId="56" applyFont="1" applyFill="1" applyBorder="1">
      <alignment/>
      <protection locked="0"/>
    </xf>
    <xf numFmtId="167" fontId="5" fillId="0" borderId="69" xfId="56" applyFont="1" applyFill="1" applyBorder="1">
      <alignment/>
      <protection locked="0"/>
    </xf>
    <xf numFmtId="167" fontId="5" fillId="0" borderId="25" xfId="56" applyFont="1" applyFill="1" applyBorder="1">
      <alignment/>
      <protection locked="0"/>
    </xf>
    <xf numFmtId="167" fontId="5" fillId="0" borderId="26" xfId="56" applyFont="1" applyFill="1" applyBorder="1">
      <alignment/>
      <protection locked="0"/>
    </xf>
    <xf numFmtId="167" fontId="5" fillId="0" borderId="45" xfId="56" applyFont="1" applyFill="1" applyBorder="1">
      <alignment/>
      <protection locked="0"/>
    </xf>
    <xf numFmtId="167" fontId="4" fillId="0" borderId="0" xfId="0" applyNumberFormat="1" applyFont="1" applyFill="1" applyBorder="1" applyAlignment="1">
      <alignment horizontal="left"/>
    </xf>
    <xf numFmtId="167" fontId="4" fillId="0" borderId="25" xfId="59" applyFont="1" applyFill="1" applyBorder="1">
      <alignment/>
      <protection/>
    </xf>
    <xf numFmtId="167" fontId="4" fillId="0" borderId="26" xfId="59" applyFont="1" applyFill="1" applyBorder="1">
      <alignment/>
      <protection/>
    </xf>
    <xf numFmtId="167" fontId="4" fillId="0" borderId="45" xfId="59" applyFont="1" applyFill="1" applyBorder="1">
      <alignment/>
      <protection/>
    </xf>
    <xf numFmtId="167" fontId="0" fillId="0" borderId="0" xfId="0" applyNumberFormat="1" applyFill="1" applyBorder="1" applyAlignment="1">
      <alignment/>
    </xf>
    <xf numFmtId="0" fontId="42" fillId="0" borderId="0" xfId="0" applyFont="1" applyAlignment="1">
      <alignment vertical="center"/>
    </xf>
    <xf numFmtId="1" fontId="4" fillId="40" borderId="73" xfId="62" applyFont="1" applyFill="1" applyBorder="1">
      <alignment horizontal="left"/>
      <protection/>
    </xf>
    <xf numFmtId="1" fontId="4" fillId="40" borderId="74" xfId="62" applyFont="1" applyFill="1" applyBorder="1">
      <alignment horizontal="left"/>
      <protection/>
    </xf>
    <xf numFmtId="164" fontId="4" fillId="40" borderId="22" xfId="63" applyFont="1" applyFill="1" applyBorder="1">
      <alignment horizontal="center" vertical="center"/>
      <protection/>
    </xf>
    <xf numFmtId="164" fontId="4" fillId="40" borderId="23" xfId="63" applyFont="1" applyFill="1" applyBorder="1">
      <alignment horizontal="center" vertical="center"/>
      <protection/>
    </xf>
    <xf numFmtId="164" fontId="4" fillId="40" borderId="74" xfId="63" applyFont="1" applyFill="1" applyBorder="1">
      <alignment horizontal="center" vertical="center"/>
      <protection/>
    </xf>
    <xf numFmtId="164" fontId="43" fillId="0" borderId="73" xfId="54" applyFont="1" applyFill="1" applyBorder="1">
      <alignment horizontal="left"/>
      <protection/>
    </xf>
    <xf numFmtId="166" fontId="43" fillId="0" borderId="74" xfId="57" applyFont="1" applyFill="1" applyBorder="1">
      <alignment horizontal="left"/>
      <protection/>
    </xf>
    <xf numFmtId="167" fontId="43" fillId="0" borderId="22" xfId="59" applyFont="1" applyFill="1" applyBorder="1">
      <alignment/>
      <protection/>
    </xf>
    <xf numFmtId="167" fontId="43" fillId="0" borderId="23" xfId="59" applyFont="1" applyFill="1" applyBorder="1">
      <alignment/>
      <protection/>
    </xf>
    <xf numFmtId="167" fontId="43" fillId="0" borderId="74" xfId="59" applyFont="1" applyFill="1" applyBorder="1">
      <alignment/>
      <protection/>
    </xf>
    <xf numFmtId="164" fontId="43" fillId="0" borderId="73" xfId="55" applyFont="1" applyFill="1" applyBorder="1">
      <alignment horizontal="left"/>
      <protection/>
    </xf>
    <xf numFmtId="164" fontId="4" fillId="0" borderId="81" xfId="55" applyFont="1" applyFill="1" applyBorder="1">
      <alignment horizontal="left"/>
      <protection/>
    </xf>
    <xf numFmtId="166" fontId="4" fillId="0" borderId="88" xfId="58" applyFont="1" applyFill="1" applyBorder="1">
      <alignment horizontal="left"/>
      <protection/>
    </xf>
    <xf numFmtId="167" fontId="4" fillId="0" borderId="64" xfId="59" applyFont="1" applyFill="1" applyBorder="1">
      <alignment/>
      <protection/>
    </xf>
    <xf numFmtId="167" fontId="4" fillId="0" borderId="50" xfId="59" applyFont="1" applyFill="1" applyBorder="1">
      <alignment/>
      <protection/>
    </xf>
    <xf numFmtId="167" fontId="4" fillId="0" borderId="88" xfId="59" applyFont="1" applyFill="1" applyBorder="1">
      <alignment/>
      <protection/>
    </xf>
    <xf numFmtId="164" fontId="30" fillId="0" borderId="47" xfId="54" applyFont="1" applyFill="1" applyBorder="1">
      <alignment horizontal="left"/>
      <protection/>
    </xf>
    <xf numFmtId="166" fontId="30" fillId="0" borderId="84" xfId="57" applyFont="1" applyFill="1" applyBorder="1">
      <alignment horizontal="left"/>
      <protection/>
    </xf>
    <xf numFmtId="167" fontId="30" fillId="0" borderId="63" xfId="59" applyFont="1" applyFill="1" applyBorder="1">
      <alignment/>
      <protection/>
    </xf>
    <xf numFmtId="167" fontId="30" fillId="0" borderId="52" xfId="59" applyFont="1" applyFill="1" applyBorder="1">
      <alignment/>
      <protection/>
    </xf>
    <xf numFmtId="167" fontId="30" fillId="0" borderId="84" xfId="59" applyFont="1" applyFill="1" applyBorder="1">
      <alignment/>
      <protection/>
    </xf>
    <xf numFmtId="164" fontId="30" fillId="0" borderId="73" xfId="54" applyFont="1" applyFill="1" applyBorder="1">
      <alignment horizontal="left"/>
      <protection/>
    </xf>
    <xf numFmtId="166" fontId="30" fillId="0" borderId="74" xfId="57" applyFont="1" applyFill="1" applyBorder="1">
      <alignment horizontal="left"/>
      <protection/>
    </xf>
    <xf numFmtId="167" fontId="30" fillId="0" borderId="22" xfId="56" applyFont="1" applyFill="1" applyBorder="1">
      <alignment/>
      <protection locked="0"/>
    </xf>
    <xf numFmtId="167" fontId="30" fillId="0" borderId="23" xfId="56" applyFont="1" applyFill="1" applyBorder="1">
      <alignment/>
      <protection locked="0"/>
    </xf>
    <xf numFmtId="167" fontId="30" fillId="0" borderId="74" xfId="56" applyFont="1" applyFill="1" applyBorder="1">
      <alignment/>
      <protection locked="0"/>
    </xf>
    <xf numFmtId="0" fontId="37" fillId="0" borderId="0" xfId="0" applyFont="1" applyFill="1" applyAlignment="1">
      <alignment vertical="center"/>
    </xf>
    <xf numFmtId="0" fontId="42" fillId="0" borderId="0" xfId="0" applyFont="1" applyFill="1" applyAlignment="1">
      <alignment vertical="center"/>
    </xf>
    <xf numFmtId="1" fontId="4" fillId="40" borderId="82" xfId="62" applyFont="1" applyFill="1" applyBorder="1">
      <alignment horizontal="left"/>
      <protection/>
    </xf>
    <xf numFmtId="164" fontId="4" fillId="40" borderId="55" xfId="63" applyFont="1" applyFill="1" applyBorder="1">
      <alignment horizontal="center" vertical="center"/>
      <protection/>
    </xf>
    <xf numFmtId="164" fontId="45" fillId="0" borderId="73" xfId="55" applyFont="1" applyFill="1" applyBorder="1">
      <alignment horizontal="left"/>
      <protection/>
    </xf>
    <xf numFmtId="166" fontId="46" fillId="0" borderId="74" xfId="58" applyFont="1" applyFill="1" applyBorder="1">
      <alignment horizontal="left"/>
      <protection/>
    </xf>
    <xf numFmtId="166" fontId="46" fillId="0" borderId="74" xfId="57" applyFont="1" applyFill="1" applyBorder="1">
      <alignment horizontal="left"/>
      <protection/>
    </xf>
    <xf numFmtId="164" fontId="44" fillId="0" borderId="66" xfId="55" applyFont="1" applyFill="1" applyBorder="1">
      <alignment horizontal="left"/>
      <protection/>
    </xf>
    <xf numFmtId="166" fontId="47" fillId="0" borderId="42" xfId="57" applyFont="1" applyFill="1" applyBorder="1">
      <alignment horizontal="left"/>
      <protection/>
    </xf>
    <xf numFmtId="164" fontId="44" fillId="0" borderId="78" xfId="55" applyFont="1" applyFill="1" applyBorder="1">
      <alignment horizontal="left"/>
      <protection/>
    </xf>
    <xf numFmtId="166" fontId="47" fillId="0" borderId="80" xfId="57" applyFont="1" applyFill="1" applyBorder="1">
      <alignment horizontal="left"/>
      <protection/>
    </xf>
    <xf numFmtId="164" fontId="47" fillId="0" borderId="78" xfId="55" applyFont="1" applyFill="1" applyBorder="1">
      <alignment horizontal="left"/>
      <protection/>
    </xf>
    <xf numFmtId="190" fontId="5" fillId="0" borderId="18" xfId="56" applyNumberFormat="1" applyFont="1" applyFill="1" applyBorder="1">
      <alignment/>
      <protection locked="0"/>
    </xf>
    <xf numFmtId="190" fontId="5" fillId="0" borderId="19" xfId="56" applyNumberFormat="1" applyFont="1" applyFill="1" applyBorder="1">
      <alignment/>
      <protection locked="0"/>
    </xf>
    <xf numFmtId="190" fontId="5" fillId="0" borderId="40" xfId="56" applyNumberFormat="1" applyFont="1" applyFill="1" applyBorder="1">
      <alignment/>
      <protection locked="0"/>
    </xf>
    <xf numFmtId="190" fontId="5" fillId="0" borderId="42" xfId="56" applyNumberFormat="1" applyFont="1" applyFill="1" applyBorder="1">
      <alignment/>
      <protection locked="0"/>
    </xf>
    <xf numFmtId="190" fontId="4" fillId="0" borderId="36" xfId="59" applyNumberFormat="1" applyFont="1" applyFill="1" applyBorder="1">
      <alignment/>
      <protection/>
    </xf>
    <xf numFmtId="190" fontId="4" fillId="0" borderId="37" xfId="59" applyNumberFormat="1" applyFont="1" applyFill="1" applyBorder="1">
      <alignment/>
      <protection/>
    </xf>
    <xf numFmtId="190" fontId="4" fillId="0" borderId="57" xfId="59" applyNumberFormat="1" applyFont="1" applyFill="1" applyBorder="1">
      <alignment/>
      <protection/>
    </xf>
    <xf numFmtId="190" fontId="4" fillId="0" borderId="80" xfId="59" applyNumberFormat="1" applyFont="1" applyFill="1" applyBorder="1">
      <alignment/>
      <protection/>
    </xf>
    <xf numFmtId="190" fontId="0" fillId="0" borderId="18" xfId="59" applyNumberFormat="1" applyFont="1" applyFill="1" applyBorder="1">
      <alignment/>
      <protection/>
    </xf>
    <xf numFmtId="190" fontId="0" fillId="0" borderId="19" xfId="59" applyNumberFormat="1" applyFont="1" applyFill="1" applyBorder="1">
      <alignment/>
      <protection/>
    </xf>
    <xf numFmtId="190" fontId="0" fillId="0" borderId="40" xfId="59" applyNumberFormat="1" applyFont="1" applyFill="1" applyBorder="1">
      <alignment/>
      <protection/>
    </xf>
    <xf numFmtId="190" fontId="0" fillId="0" borderId="42" xfId="59" applyNumberFormat="1" applyFont="1" applyFill="1" applyBorder="1">
      <alignment/>
      <protection/>
    </xf>
    <xf numFmtId="190" fontId="5" fillId="0" borderId="32" xfId="56" applyNumberFormat="1" applyFont="1" applyFill="1" applyBorder="1">
      <alignment/>
      <protection locked="0"/>
    </xf>
    <xf numFmtId="190" fontId="5" fillId="0" borderId="33" xfId="56" applyNumberFormat="1" applyFont="1" applyFill="1" applyBorder="1">
      <alignment/>
      <protection locked="0"/>
    </xf>
    <xf numFmtId="190" fontId="5" fillId="0" borderId="41" xfId="56" applyNumberFormat="1" applyFont="1" applyFill="1" applyBorder="1">
      <alignment/>
      <protection locked="0"/>
    </xf>
    <xf numFmtId="190" fontId="5" fillId="0" borderId="69" xfId="56" applyNumberFormat="1" applyFont="1" applyFill="1" applyBorder="1">
      <alignment/>
      <protection locked="0"/>
    </xf>
    <xf numFmtId="190" fontId="5" fillId="0" borderId="46" xfId="56" applyNumberFormat="1" applyFont="1" applyFill="1" applyBorder="1">
      <alignment/>
      <protection locked="0"/>
    </xf>
    <xf numFmtId="190" fontId="5" fillId="0" borderId="8" xfId="56" applyNumberFormat="1" applyFont="1" applyFill="1" applyBorder="1">
      <alignment/>
      <protection locked="0"/>
    </xf>
    <xf numFmtId="190" fontId="5" fillId="0" borderId="39" xfId="56" applyNumberFormat="1" applyFont="1" applyFill="1" applyBorder="1">
      <alignment/>
      <protection locked="0"/>
    </xf>
    <xf numFmtId="190" fontId="5" fillId="0" borderId="76" xfId="56" applyNumberFormat="1" applyFont="1" applyFill="1" applyBorder="1">
      <alignment/>
      <protection locked="0"/>
    </xf>
    <xf numFmtId="190" fontId="0" fillId="0" borderId="18" xfId="56" applyNumberFormat="1" applyFont="1" applyFill="1" applyBorder="1">
      <alignment/>
      <protection locked="0"/>
    </xf>
    <xf numFmtId="190" fontId="0" fillId="0" borderId="19" xfId="56" applyNumberFormat="1" applyFont="1" applyFill="1" applyBorder="1">
      <alignment/>
      <protection locked="0"/>
    </xf>
    <xf numFmtId="190" fontId="0" fillId="0" borderId="40" xfId="56" applyNumberFormat="1" applyFont="1" applyFill="1" applyBorder="1">
      <alignment/>
      <protection locked="0"/>
    </xf>
    <xf numFmtId="190" fontId="0" fillId="0" borderId="42" xfId="56" applyNumberFormat="1" applyFont="1" applyFill="1" applyBorder="1">
      <alignment/>
      <protection locked="0"/>
    </xf>
    <xf numFmtId="190" fontId="0" fillId="0" borderId="32" xfId="56" applyNumberFormat="1" applyFont="1" applyFill="1" applyBorder="1">
      <alignment/>
      <protection locked="0"/>
    </xf>
    <xf numFmtId="190" fontId="0" fillId="0" borderId="33" xfId="56" applyNumberFormat="1" applyFont="1" applyFill="1" applyBorder="1">
      <alignment/>
      <protection locked="0"/>
    </xf>
    <xf numFmtId="190" fontId="0" fillId="0" borderId="41" xfId="56" applyNumberFormat="1" applyFont="1" applyFill="1" applyBorder="1">
      <alignment/>
      <protection locked="0"/>
    </xf>
    <xf numFmtId="190" fontId="0" fillId="0" borderId="69" xfId="56" applyNumberFormat="1" applyFont="1" applyFill="1" applyBorder="1">
      <alignment/>
      <protection locked="0"/>
    </xf>
    <xf numFmtId="190" fontId="4" fillId="0" borderId="25" xfId="59" applyNumberFormat="1" applyFont="1" applyFill="1" applyBorder="1">
      <alignment/>
      <protection/>
    </xf>
    <xf numFmtId="190" fontId="4" fillId="0" borderId="26" xfId="59" applyNumberFormat="1" applyFont="1" applyFill="1" applyBorder="1">
      <alignment/>
      <protection/>
    </xf>
    <xf numFmtId="190" fontId="4" fillId="0" borderId="71" xfId="59" applyNumberFormat="1" applyFont="1" applyFill="1" applyBorder="1">
      <alignment/>
      <protection/>
    </xf>
    <xf numFmtId="190" fontId="4" fillId="0" borderId="45" xfId="59" applyNumberFormat="1" applyFont="1" applyFill="1" applyBorder="1">
      <alignment/>
      <protection/>
    </xf>
    <xf numFmtId="190" fontId="46" fillId="29" borderId="22" xfId="60" applyNumberFormat="1" applyFont="1" applyBorder="1">
      <alignment/>
      <protection/>
    </xf>
    <xf numFmtId="190" fontId="46" fillId="29" borderId="23" xfId="60" applyNumberFormat="1" applyFont="1" applyBorder="1">
      <alignment/>
      <protection/>
    </xf>
    <xf numFmtId="190" fontId="46" fillId="29" borderId="74" xfId="60" applyNumberFormat="1" applyFont="1" applyBorder="1">
      <alignment/>
      <protection/>
    </xf>
    <xf numFmtId="190" fontId="0" fillId="0" borderId="18" xfId="61" applyNumberFormat="1" applyFont="1" applyFill="1" applyBorder="1">
      <alignment/>
      <protection/>
    </xf>
    <xf numFmtId="190" fontId="0" fillId="0" borderId="19" xfId="61" applyNumberFormat="1" applyFont="1" applyFill="1" applyBorder="1">
      <alignment/>
      <protection/>
    </xf>
    <xf numFmtId="190" fontId="0" fillId="0" borderId="42" xfId="61" applyNumberFormat="1" applyFont="1" applyFill="1" applyBorder="1">
      <alignment/>
      <protection/>
    </xf>
    <xf numFmtId="190" fontId="4" fillId="29" borderId="32" xfId="60" applyNumberFormat="1" applyFont="1" applyBorder="1">
      <alignment/>
      <protection/>
    </xf>
    <xf numFmtId="190" fontId="4" fillId="29" borderId="33" xfId="60" applyNumberFormat="1" applyFont="1" applyBorder="1">
      <alignment/>
      <protection/>
    </xf>
    <xf numFmtId="190" fontId="4" fillId="29" borderId="69" xfId="60" applyNumberFormat="1" applyFont="1" applyBorder="1">
      <alignment/>
      <protection/>
    </xf>
    <xf numFmtId="190" fontId="4" fillId="29" borderId="18" xfId="60" applyNumberFormat="1" applyFont="1" applyBorder="1">
      <alignment/>
      <protection/>
    </xf>
    <xf numFmtId="190" fontId="4" fillId="29" borderId="19" xfId="60" applyNumberFormat="1" applyFont="1" applyBorder="1">
      <alignment/>
      <protection/>
    </xf>
    <xf numFmtId="190" fontId="4" fillId="29" borderId="42" xfId="60" applyNumberFormat="1" applyFont="1" applyBorder="1">
      <alignment/>
      <protection/>
    </xf>
    <xf numFmtId="190" fontId="0" fillId="29" borderId="18" xfId="60" applyNumberFormat="1" applyFont="1" applyBorder="1">
      <alignment/>
      <protection/>
    </xf>
    <xf numFmtId="190" fontId="0" fillId="29" borderId="19" xfId="60" applyNumberFormat="1" applyFont="1" applyBorder="1">
      <alignment/>
      <protection/>
    </xf>
    <xf numFmtId="190" fontId="0" fillId="29" borderId="42" xfId="60" applyNumberFormat="1" applyFont="1" applyBorder="1">
      <alignment/>
      <protection/>
    </xf>
    <xf numFmtId="190" fontId="0" fillId="29" borderId="32" xfId="60" applyNumberFormat="1" applyFont="1" applyBorder="1">
      <alignment/>
      <protection/>
    </xf>
    <xf numFmtId="190" fontId="0" fillId="29" borderId="33" xfId="60" applyNumberFormat="1" applyFont="1" applyBorder="1">
      <alignment/>
      <protection/>
    </xf>
    <xf numFmtId="190" fontId="0" fillId="29" borderId="69" xfId="60" applyNumberFormat="1" applyFont="1" applyBorder="1">
      <alignment/>
      <protection/>
    </xf>
    <xf numFmtId="190" fontId="47" fillId="29" borderId="36" xfId="60" applyNumberFormat="1" applyFont="1" applyBorder="1">
      <alignment/>
      <protection/>
    </xf>
    <xf numFmtId="190" fontId="47" fillId="29" borderId="37" xfId="60" applyNumberFormat="1" applyFont="1" applyBorder="1">
      <alignment/>
      <protection/>
    </xf>
    <xf numFmtId="190" fontId="47" fillId="29" borderId="80" xfId="60" applyNumberFormat="1" applyFont="1" applyBorder="1">
      <alignment/>
      <protection/>
    </xf>
    <xf numFmtId="190" fontId="47" fillId="29" borderId="18" xfId="60" applyNumberFormat="1" applyFont="1" applyBorder="1">
      <alignment/>
      <protection/>
    </xf>
    <xf numFmtId="190" fontId="47" fillId="29" borderId="19" xfId="60" applyNumberFormat="1" applyFont="1" applyBorder="1">
      <alignment/>
      <protection/>
    </xf>
    <xf numFmtId="190" fontId="47" fillId="29" borderId="42" xfId="60" applyNumberFormat="1" applyFont="1" applyBorder="1">
      <alignment/>
      <protection/>
    </xf>
    <xf numFmtId="166" fontId="4" fillId="0" borderId="80" xfId="58" applyFont="1" applyFill="1" applyBorder="1">
      <alignment horizontal="left"/>
      <protection/>
    </xf>
    <xf numFmtId="169" fontId="17" fillId="0" borderId="39" xfId="48" applyNumberFormat="1" applyFont="1" applyFill="1" applyBorder="1" applyAlignment="1" applyProtection="1">
      <alignment/>
      <protection locked="0"/>
    </xf>
    <xf numFmtId="169" fontId="4" fillId="0" borderId="71" xfId="48" applyNumberFormat="1" applyFont="1" applyFill="1" applyBorder="1" applyAlignment="1">
      <alignment/>
    </xf>
    <xf numFmtId="169" fontId="4" fillId="0" borderId="57" xfId="48" applyNumberFormat="1" applyFont="1" applyFill="1" applyBorder="1" applyAlignment="1">
      <alignment/>
    </xf>
    <xf numFmtId="169" fontId="5" fillId="0" borderId="71" xfId="48" applyNumberFormat="1" applyFont="1" applyFill="1" applyBorder="1" applyAlignment="1" applyProtection="1">
      <alignment/>
      <protection locked="0"/>
    </xf>
    <xf numFmtId="166" fontId="0" fillId="0" borderId="82" xfId="58" applyFont="1" applyFill="1" applyBorder="1">
      <alignment horizontal="left"/>
      <protection/>
    </xf>
    <xf numFmtId="164" fontId="4" fillId="40" borderId="24" xfId="63" applyFont="1" applyFill="1" applyBorder="1">
      <alignment horizontal="center" vertical="center"/>
      <protection/>
    </xf>
    <xf numFmtId="164" fontId="0" fillId="40" borderId="73" xfId="55" applyFont="1" applyFill="1" applyBorder="1">
      <alignment horizontal="left"/>
      <protection/>
    </xf>
    <xf numFmtId="169" fontId="43" fillId="0" borderId="55" xfId="48" applyNumberFormat="1" applyFont="1" applyFill="1" applyBorder="1" applyAlignment="1">
      <alignment/>
    </xf>
    <xf numFmtId="169" fontId="43" fillId="0" borderId="23" xfId="48" applyNumberFormat="1" applyFont="1" applyFill="1" applyBorder="1" applyAlignment="1">
      <alignment/>
    </xf>
    <xf numFmtId="169" fontId="43" fillId="0" borderId="24" xfId="48" applyNumberFormat="1" applyFont="1" applyFill="1" applyBorder="1" applyAlignment="1">
      <alignment/>
    </xf>
    <xf numFmtId="169" fontId="30" fillId="0" borderId="56" xfId="48" applyNumberFormat="1" applyFont="1" applyFill="1" applyBorder="1" applyAlignment="1">
      <alignment/>
    </xf>
    <xf numFmtId="169" fontId="30" fillId="0" borderId="52" xfId="48" applyNumberFormat="1" applyFont="1" applyFill="1" applyBorder="1" applyAlignment="1">
      <alignment/>
    </xf>
    <xf numFmtId="169" fontId="30" fillId="0" borderId="53" xfId="48" applyNumberFormat="1" applyFont="1" applyFill="1" applyBorder="1" applyAlignment="1">
      <alignment/>
    </xf>
    <xf numFmtId="169" fontId="30" fillId="0" borderId="71" xfId="48" applyNumberFormat="1" applyFont="1" applyFill="1" applyBorder="1" applyAlignment="1" applyProtection="1">
      <alignment/>
      <protection locked="0"/>
    </xf>
    <xf numFmtId="169" fontId="30" fillId="0" borderId="26" xfId="48" applyNumberFormat="1" applyFont="1" applyFill="1" applyBorder="1" applyAlignment="1" applyProtection="1">
      <alignment/>
      <protection locked="0"/>
    </xf>
    <xf numFmtId="169" fontId="30" fillId="0" borderId="27" xfId="48" applyNumberFormat="1" applyFont="1" applyFill="1" applyBorder="1" applyAlignment="1" applyProtection="1">
      <alignment/>
      <protection locked="0"/>
    </xf>
    <xf numFmtId="169" fontId="30" fillId="0" borderId="55" xfId="48" applyNumberFormat="1" applyFont="1" applyFill="1" applyBorder="1" applyAlignment="1">
      <alignment/>
    </xf>
    <xf numFmtId="169" fontId="30" fillId="0" borderId="23" xfId="48" applyNumberFormat="1" applyFont="1" applyFill="1" applyBorder="1" applyAlignment="1">
      <alignment/>
    </xf>
    <xf numFmtId="169" fontId="30" fillId="0" borderId="24" xfId="48" applyNumberFormat="1" applyFont="1" applyFill="1" applyBorder="1" applyAlignment="1">
      <alignment/>
    </xf>
    <xf numFmtId="164" fontId="0" fillId="0" borderId="87" xfId="55" applyFont="1" applyFill="1" applyBorder="1">
      <alignment horizontal="left"/>
      <protection/>
    </xf>
    <xf numFmtId="164" fontId="0" fillId="0" borderId="43" xfId="55" applyFont="1" applyFill="1" applyBorder="1">
      <alignment horizontal="left"/>
      <protection/>
    </xf>
    <xf numFmtId="166" fontId="0" fillId="0" borderId="44" xfId="58" applyFont="1" applyFill="1" applyBorder="1">
      <alignment horizontal="left"/>
      <protection/>
    </xf>
    <xf numFmtId="164" fontId="4" fillId="0" borderId="82" xfId="54" applyFont="1" applyFill="1" applyBorder="1">
      <alignment horizontal="left"/>
      <protection/>
    </xf>
    <xf numFmtId="164" fontId="0" fillId="0" borderId="47" xfId="55" applyFont="1" applyFill="1" applyBorder="1">
      <alignment horizontal="left"/>
      <protection/>
    </xf>
    <xf numFmtId="164" fontId="0" fillId="0" borderId="15" xfId="55" applyFont="1" applyFill="1" applyBorder="1">
      <alignment horizontal="left"/>
      <protection/>
    </xf>
    <xf numFmtId="164" fontId="43" fillId="0" borderId="87" xfId="54" applyFont="1" applyFill="1" applyBorder="1">
      <alignment horizontal="left"/>
      <protection/>
    </xf>
    <xf numFmtId="164" fontId="43" fillId="0" borderId="43" xfId="54" applyFont="1" applyFill="1" applyBorder="1">
      <alignment horizontal="left"/>
      <protection/>
    </xf>
    <xf numFmtId="166" fontId="43" fillId="0" borderId="44" xfId="57" applyFont="1" applyFill="1" applyBorder="1">
      <alignment horizontal="left"/>
      <protection/>
    </xf>
    <xf numFmtId="169" fontId="43" fillId="0" borderId="18" xfId="48" applyNumberFormat="1" applyFont="1" applyFill="1" applyBorder="1" applyAlignment="1">
      <alignment/>
    </xf>
    <xf numFmtId="169" fontId="43" fillId="0" borderId="19" xfId="48" applyNumberFormat="1" applyFont="1" applyFill="1" applyBorder="1" applyAlignment="1">
      <alignment/>
    </xf>
    <xf numFmtId="169" fontId="43" fillId="0" borderId="20" xfId="48" applyNumberFormat="1" applyFont="1" applyFill="1" applyBorder="1" applyAlignment="1">
      <alignment/>
    </xf>
    <xf numFmtId="164" fontId="43" fillId="0" borderId="0" xfId="54" applyFont="1" applyFill="1" applyBorder="1">
      <alignment horizontal="left"/>
      <protection/>
    </xf>
    <xf numFmtId="166" fontId="43" fillId="0" borderId="42" xfId="57" applyFont="1" applyFill="1" applyBorder="1">
      <alignment horizontal="left"/>
      <protection/>
    </xf>
    <xf numFmtId="190" fontId="43" fillId="0" borderId="18" xfId="59" applyNumberFormat="1" applyFont="1" applyFill="1" applyBorder="1">
      <alignment/>
      <protection/>
    </xf>
    <xf numFmtId="190" fontId="43" fillId="0" borderId="19" xfId="59" applyNumberFormat="1" applyFont="1" applyFill="1" applyBorder="1">
      <alignment/>
      <protection/>
    </xf>
    <xf numFmtId="190" fontId="43" fillId="0" borderId="40" xfId="59" applyNumberFormat="1" applyFont="1" applyFill="1" applyBorder="1">
      <alignment/>
      <protection/>
    </xf>
    <xf numFmtId="190" fontId="43" fillId="0" borderId="42" xfId="59" applyNumberFormat="1" applyFont="1" applyFill="1" applyBorder="1">
      <alignment/>
      <protection/>
    </xf>
    <xf numFmtId="164" fontId="43" fillId="0" borderId="66" xfId="54" applyFont="1" applyFill="1" applyBorder="1">
      <alignment horizontal="left"/>
      <protection/>
    </xf>
    <xf numFmtId="0" fontId="0" fillId="0" borderId="68" xfId="0" applyBorder="1" applyAlignment="1">
      <alignment/>
    </xf>
    <xf numFmtId="0" fontId="0" fillId="0" borderId="89" xfId="0" applyBorder="1" applyAlignment="1">
      <alignment/>
    </xf>
    <xf numFmtId="2" fontId="0" fillId="0" borderId="19" xfId="0" applyNumberFormat="1" applyBorder="1" applyAlignment="1">
      <alignment/>
    </xf>
    <xf numFmtId="0" fontId="0" fillId="0" borderId="18" xfId="0" applyBorder="1" applyAlignment="1">
      <alignment/>
    </xf>
    <xf numFmtId="0" fontId="0" fillId="0" borderId="20" xfId="0" applyBorder="1" applyAlignment="1">
      <alignment/>
    </xf>
    <xf numFmtId="169" fontId="0" fillId="0" borderId="20" xfId="48" applyNumberFormat="1" applyFont="1" applyBorder="1" applyAlignment="1">
      <alignment/>
    </xf>
    <xf numFmtId="2" fontId="0" fillId="0" borderId="32" xfId="0" applyNumberFormat="1" applyBorder="1" applyAlignment="1">
      <alignment/>
    </xf>
    <xf numFmtId="2" fontId="0" fillId="0" borderId="33" xfId="0" applyNumberFormat="1" applyBorder="1" applyAlignment="1">
      <alignment/>
    </xf>
    <xf numFmtId="2" fontId="0" fillId="0" borderId="34" xfId="0" applyNumberFormat="1" applyBorder="1" applyAlignment="1">
      <alignment/>
    </xf>
    <xf numFmtId="0" fontId="4" fillId="0" borderId="21" xfId="0" applyFont="1" applyFill="1" applyBorder="1" applyAlignment="1">
      <alignment/>
    </xf>
    <xf numFmtId="0" fontId="4" fillId="40" borderId="21" xfId="0" applyFont="1" applyFill="1" applyBorder="1" applyAlignment="1">
      <alignment/>
    </xf>
    <xf numFmtId="2" fontId="0" fillId="0" borderId="46" xfId="0" applyNumberFormat="1" applyBorder="1" applyAlignment="1">
      <alignment/>
    </xf>
    <xf numFmtId="2" fontId="0" fillId="0" borderId="8" xfId="0" applyNumberFormat="1" applyBorder="1" applyAlignment="1">
      <alignment/>
    </xf>
    <xf numFmtId="2" fontId="0" fillId="0" borderId="30" xfId="0" applyNumberFormat="1" applyBorder="1" applyAlignment="1">
      <alignment/>
    </xf>
    <xf numFmtId="0" fontId="33" fillId="0" borderId="28" xfId="0" applyFont="1" applyBorder="1" applyAlignment="1">
      <alignment/>
    </xf>
    <xf numFmtId="0" fontId="0" fillId="0" borderId="63" xfId="0" applyBorder="1" applyAlignment="1">
      <alignment/>
    </xf>
    <xf numFmtId="0" fontId="0" fillId="0" borderId="52" xfId="0" applyBorder="1" applyAlignment="1">
      <alignment/>
    </xf>
    <xf numFmtId="0" fontId="0" fillId="0" borderId="53" xfId="0" applyBorder="1" applyAlignment="1">
      <alignment/>
    </xf>
    <xf numFmtId="169" fontId="0" fillId="0" borderId="46" xfId="48" applyNumberFormat="1" applyFont="1" applyBorder="1" applyAlignment="1">
      <alignment/>
    </xf>
    <xf numFmtId="169" fontId="0" fillId="0" borderId="30" xfId="48" applyNumberFormat="1" applyFont="1" applyBorder="1" applyAlignment="1">
      <alignment/>
    </xf>
    <xf numFmtId="174" fontId="0" fillId="0" borderId="46" xfId="0" applyNumberFormat="1" applyBorder="1" applyAlignment="1">
      <alignment/>
    </xf>
    <xf numFmtId="174" fontId="0" fillId="0" borderId="8" xfId="0" applyNumberFormat="1" applyBorder="1" applyAlignment="1">
      <alignment/>
    </xf>
    <xf numFmtId="174" fontId="0" fillId="0" borderId="30" xfId="0" applyNumberFormat="1" applyBorder="1" applyAlignment="1">
      <alignment/>
    </xf>
    <xf numFmtId="174" fontId="0" fillId="0" borderId="36" xfId="0" applyNumberFormat="1" applyBorder="1" applyAlignment="1">
      <alignment/>
    </xf>
    <xf numFmtId="174" fontId="0" fillId="0" borderId="37" xfId="0" applyNumberFormat="1" applyBorder="1" applyAlignment="1">
      <alignment/>
    </xf>
    <xf numFmtId="174" fontId="0" fillId="0" borderId="38" xfId="0" applyNumberFormat="1" applyBorder="1" applyAlignment="1">
      <alignment/>
    </xf>
    <xf numFmtId="0" fontId="33" fillId="0" borderId="31" xfId="0" applyFont="1" applyBorder="1" applyAlignment="1">
      <alignment/>
    </xf>
    <xf numFmtId="2" fontId="0" fillId="0" borderId="36" xfId="0" applyNumberFormat="1" applyBorder="1" applyAlignment="1">
      <alignment/>
    </xf>
    <xf numFmtId="2" fontId="0" fillId="0" borderId="37" xfId="0" applyNumberFormat="1" applyBorder="1" applyAlignment="1">
      <alignment/>
    </xf>
    <xf numFmtId="2" fontId="0" fillId="0" borderId="38" xfId="0" applyNumberFormat="1" applyBorder="1" applyAlignment="1">
      <alignment/>
    </xf>
    <xf numFmtId="169" fontId="0" fillId="0" borderId="37" xfId="48" applyNumberFormat="1" applyFont="1" applyBorder="1" applyAlignment="1">
      <alignment/>
    </xf>
    <xf numFmtId="169" fontId="0" fillId="0" borderId="38" xfId="48" applyNumberFormat="1" applyFont="1" applyBorder="1" applyAlignment="1">
      <alignment/>
    </xf>
    <xf numFmtId="0" fontId="42" fillId="0" borderId="0" xfId="0" applyFont="1" applyBorder="1" applyAlignment="1">
      <alignment/>
    </xf>
    <xf numFmtId="0" fontId="43" fillId="0" borderId="0" xfId="0" applyFont="1" applyBorder="1" applyAlignment="1">
      <alignment/>
    </xf>
    <xf numFmtId="3" fontId="49" fillId="0" borderId="36" xfId="0" applyNumberFormat="1" applyFont="1" applyBorder="1" applyAlignment="1">
      <alignment/>
    </xf>
    <xf numFmtId="3" fontId="49" fillId="0" borderId="37" xfId="0" applyNumberFormat="1" applyFont="1" applyBorder="1" applyAlignment="1">
      <alignment/>
    </xf>
    <xf numFmtId="3" fontId="49" fillId="0" borderId="38" xfId="0" applyNumberFormat="1" applyFont="1" applyBorder="1" applyAlignment="1">
      <alignment/>
    </xf>
    <xf numFmtId="3" fontId="49" fillId="0" borderId="63" xfId="0" applyNumberFormat="1" applyFont="1" applyBorder="1" applyAlignment="1">
      <alignment/>
    </xf>
    <xf numFmtId="3" fontId="49" fillId="0" borderId="52" xfId="0" applyNumberFormat="1" applyFont="1" applyBorder="1" applyAlignment="1">
      <alignment/>
    </xf>
    <xf numFmtId="3" fontId="49" fillId="0" borderId="53" xfId="0" applyNumberFormat="1" applyFont="1" applyBorder="1" applyAlignment="1">
      <alignment/>
    </xf>
    <xf numFmtId="10" fontId="33" fillId="0" borderId="22" xfId="0" applyNumberFormat="1" applyFont="1" applyBorder="1" applyAlignment="1">
      <alignment/>
    </xf>
    <xf numFmtId="10" fontId="33" fillId="0" borderId="23" xfId="0" applyNumberFormat="1" applyFont="1" applyBorder="1" applyAlignment="1">
      <alignment/>
    </xf>
    <xf numFmtId="10" fontId="33" fillId="0" borderId="24" xfId="0" applyNumberFormat="1" applyFont="1" applyBorder="1" applyAlignment="1">
      <alignment/>
    </xf>
    <xf numFmtId="0" fontId="4" fillId="0" borderId="31" xfId="0" applyFont="1" applyBorder="1" applyAlignment="1">
      <alignment/>
    </xf>
    <xf numFmtId="168" fontId="4" fillId="0" borderId="41" xfId="0" applyNumberFormat="1" applyFont="1" applyBorder="1" applyAlignment="1">
      <alignment/>
    </xf>
    <xf numFmtId="168" fontId="4" fillId="0" borderId="33" xfId="0" applyNumberFormat="1" applyFont="1" applyBorder="1" applyAlignment="1">
      <alignment/>
    </xf>
    <xf numFmtId="168" fontId="4" fillId="0" borderId="34" xfId="0" applyNumberFormat="1" applyFont="1" applyBorder="1" applyAlignment="1">
      <alignment/>
    </xf>
    <xf numFmtId="168" fontId="4" fillId="0" borderId="55" xfId="0" applyNumberFormat="1" applyFont="1" applyBorder="1" applyAlignment="1">
      <alignment/>
    </xf>
    <xf numFmtId="168" fontId="4" fillId="0" borderId="23" xfId="0" applyNumberFormat="1" applyFont="1" applyBorder="1" applyAlignment="1">
      <alignment/>
    </xf>
    <xf numFmtId="168" fontId="4" fillId="0" borderId="65" xfId="0" applyNumberFormat="1" applyFont="1" applyBorder="1" applyAlignment="1">
      <alignment/>
    </xf>
    <xf numFmtId="0" fontId="4" fillId="0" borderId="28" xfId="0" applyFont="1" applyBorder="1" applyAlignment="1">
      <alignment/>
    </xf>
    <xf numFmtId="168" fontId="4" fillId="0" borderId="56" xfId="0" applyNumberFormat="1" applyFont="1" applyBorder="1" applyAlignment="1">
      <alignment/>
    </xf>
    <xf numFmtId="168" fontId="4" fillId="0" borderId="52" xfId="0" applyNumberFormat="1" applyFont="1" applyBorder="1" applyAlignment="1">
      <alignment/>
    </xf>
    <xf numFmtId="168" fontId="4" fillId="0" borderId="59" xfId="0" applyNumberFormat="1"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168" fontId="4" fillId="0" borderId="63" xfId="0" applyNumberFormat="1" applyFont="1" applyBorder="1" applyAlignment="1">
      <alignment/>
    </xf>
    <xf numFmtId="168" fontId="4" fillId="0" borderId="53" xfId="0" applyNumberFormat="1" applyFont="1" applyBorder="1" applyAlignment="1">
      <alignment/>
    </xf>
    <xf numFmtId="0" fontId="0" fillId="40" borderId="67" xfId="0" applyFill="1" applyBorder="1" applyAlignment="1">
      <alignment/>
    </xf>
    <xf numFmtId="0" fontId="0" fillId="40" borderId="21" xfId="0" applyFill="1" applyBorder="1" applyAlignment="1">
      <alignment/>
    </xf>
    <xf numFmtId="0" fontId="0" fillId="0" borderId="41" xfId="0" applyBorder="1" applyAlignment="1">
      <alignment/>
    </xf>
    <xf numFmtId="169" fontId="0" fillId="0" borderId="33" xfId="0" applyNumberFormat="1" applyBorder="1" applyAlignment="1">
      <alignment/>
    </xf>
    <xf numFmtId="169" fontId="0" fillId="0" borderId="62" xfId="0" applyNumberFormat="1" applyBorder="1" applyAlignment="1">
      <alignment/>
    </xf>
    <xf numFmtId="169" fontId="49" fillId="0" borderId="32" xfId="0" applyNumberFormat="1" applyFont="1" applyBorder="1" applyAlignment="1">
      <alignment/>
    </xf>
    <xf numFmtId="169" fontId="49" fillId="0" borderId="33" xfId="0" applyNumberFormat="1" applyFont="1" applyBorder="1" applyAlignment="1">
      <alignment/>
    </xf>
    <xf numFmtId="169" fontId="49" fillId="0" borderId="34" xfId="0" applyNumberFormat="1" applyFont="1" applyBorder="1" applyAlignment="1">
      <alignment/>
    </xf>
    <xf numFmtId="166" fontId="0" fillId="0" borderId="67" xfId="58" applyFont="1" applyFill="1" applyBorder="1">
      <alignment horizontal="left"/>
      <protection/>
    </xf>
    <xf numFmtId="0" fontId="0" fillId="0" borderId="77" xfId="0" applyBorder="1" applyAlignment="1">
      <alignment/>
    </xf>
    <xf numFmtId="0" fontId="0" fillId="0" borderId="69" xfId="0" applyBorder="1" applyAlignment="1">
      <alignment/>
    </xf>
    <xf numFmtId="3" fontId="33" fillId="0" borderId="36" xfId="0" applyNumberFormat="1" applyFont="1" applyBorder="1" applyAlignment="1">
      <alignment/>
    </xf>
    <xf numFmtId="3" fontId="33" fillId="0" borderId="37" xfId="0" applyNumberFormat="1" applyFont="1" applyBorder="1" applyAlignment="1">
      <alignment/>
    </xf>
    <xf numFmtId="3" fontId="33" fillId="0" borderId="38" xfId="0" applyNumberFormat="1" applyFont="1" applyBorder="1" applyAlignment="1">
      <alignment/>
    </xf>
    <xf numFmtId="166" fontId="50" fillId="0" borderId="21" xfId="58" applyFont="1" applyFill="1" applyBorder="1">
      <alignment horizontal="left"/>
      <protection/>
    </xf>
    <xf numFmtId="3" fontId="0" fillId="0" borderId="89" xfId="0" applyNumberFormat="1" applyBorder="1" applyAlignment="1">
      <alignment/>
    </xf>
    <xf numFmtId="3" fontId="4" fillId="0" borderId="18" xfId="0" applyNumberFormat="1" applyFont="1" applyBorder="1" applyAlignment="1">
      <alignment/>
    </xf>
    <xf numFmtId="3" fontId="4" fillId="0" borderId="19" xfId="0" applyNumberFormat="1" applyFont="1" applyBorder="1" applyAlignment="1">
      <alignment/>
    </xf>
    <xf numFmtId="3" fontId="4" fillId="0" borderId="20" xfId="0" applyNumberFormat="1" applyFont="1" applyBorder="1" applyAlignment="1">
      <alignment/>
    </xf>
    <xf numFmtId="2" fontId="0" fillId="0" borderId="25" xfId="0" applyNumberFormat="1" applyBorder="1" applyAlignment="1">
      <alignment/>
    </xf>
    <xf numFmtId="2" fontId="0" fillId="0" borderId="26" xfId="0" applyNumberFormat="1" applyBorder="1" applyAlignment="1">
      <alignment/>
    </xf>
    <xf numFmtId="2" fontId="0" fillId="0" borderId="27" xfId="0" applyNumberFormat="1" applyBorder="1" applyAlignment="1">
      <alignment/>
    </xf>
    <xf numFmtId="3" fontId="4" fillId="0" borderId="64" xfId="0" applyNumberFormat="1" applyFont="1" applyBorder="1" applyAlignment="1">
      <alignment/>
    </xf>
    <xf numFmtId="3" fontId="4" fillId="0" borderId="50" xfId="0" applyNumberFormat="1" applyFont="1" applyBorder="1" applyAlignment="1">
      <alignment/>
    </xf>
    <xf numFmtId="3" fontId="4" fillId="0" borderId="54"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0" fillId="0" borderId="0" xfId="0" applyFont="1" applyBorder="1" applyAlignment="1">
      <alignment/>
    </xf>
    <xf numFmtId="0" fontId="50" fillId="0" borderId="17" xfId="0" applyFont="1" applyBorder="1" applyAlignment="1">
      <alignment/>
    </xf>
    <xf numFmtId="0" fontId="51" fillId="0" borderId="0" xfId="0" applyFont="1" applyBorder="1" applyAlignment="1">
      <alignment/>
    </xf>
    <xf numFmtId="3" fontId="51" fillId="0" borderId="0" xfId="0" applyNumberFormat="1" applyFont="1" applyBorder="1" applyAlignment="1">
      <alignment/>
    </xf>
    <xf numFmtId="0" fontId="50" fillId="0" borderId="48" xfId="0" applyFont="1" applyFill="1" applyBorder="1" applyAlignment="1">
      <alignment/>
    </xf>
    <xf numFmtId="169" fontId="50" fillId="0" borderId="14" xfId="0" applyNumberFormat="1" applyFont="1" applyBorder="1" applyAlignment="1">
      <alignment horizontal="center"/>
    </xf>
    <xf numFmtId="0" fontId="50" fillId="0" borderId="14" xfId="0" applyFont="1" applyBorder="1" applyAlignment="1">
      <alignment horizontal="center"/>
    </xf>
    <xf numFmtId="0" fontId="4" fillId="40" borderId="8" xfId="0" applyFont="1" applyFill="1" applyBorder="1" applyAlignment="1">
      <alignment vertical="top"/>
    </xf>
    <xf numFmtId="0" fontId="4" fillId="40" borderId="48" xfId="0" applyFont="1" applyFill="1" applyBorder="1" applyAlignment="1">
      <alignment vertical="top"/>
    </xf>
    <xf numFmtId="0" fontId="4" fillId="40" borderId="8" xfId="0" applyFont="1" applyFill="1" applyBorder="1" applyAlignment="1">
      <alignment horizontal="center" wrapText="1"/>
    </xf>
    <xf numFmtId="0" fontId="4" fillId="40" borderId="8"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5" xfId="0" applyFill="1" applyBorder="1" applyAlignment="1">
      <alignment/>
    </xf>
    <xf numFmtId="3" fontId="0" fillId="0" borderId="29" xfId="0" applyNumberFormat="1" applyFill="1" applyBorder="1" applyAlignment="1">
      <alignment/>
    </xf>
    <xf numFmtId="0" fontId="0" fillId="0" borderId="31" xfId="0" applyFont="1" applyFill="1" applyBorder="1" applyAlignment="1">
      <alignment/>
    </xf>
    <xf numFmtId="3" fontId="0" fillId="0" borderId="31" xfId="0" applyNumberFormat="1" applyFont="1" applyFill="1" applyBorder="1" applyAlignment="1">
      <alignment/>
    </xf>
    <xf numFmtId="3" fontId="0" fillId="0" borderId="41" xfId="0" applyNumberFormat="1" applyFont="1" applyBorder="1" applyAlignment="1">
      <alignment/>
    </xf>
    <xf numFmtId="3" fontId="0" fillId="0" borderId="33" xfId="0" applyNumberFormat="1" applyFont="1" applyBorder="1" applyAlignment="1">
      <alignment/>
    </xf>
    <xf numFmtId="0" fontId="0" fillId="0" borderId="67" xfId="0" applyFill="1" applyBorder="1" applyAlignment="1">
      <alignment/>
    </xf>
    <xf numFmtId="3" fontId="0" fillId="0" borderId="67" xfId="0" applyNumberFormat="1" applyFont="1" applyFill="1" applyBorder="1" applyAlignment="1">
      <alignment/>
    </xf>
    <xf numFmtId="3" fontId="0" fillId="0" borderId="70" xfId="0" applyNumberFormat="1" applyFont="1" applyFill="1" applyBorder="1" applyAlignment="1">
      <alignment/>
    </xf>
    <xf numFmtId="0" fontId="0" fillId="0" borderId="58" xfId="0" applyFill="1" applyBorder="1" applyAlignment="1">
      <alignment/>
    </xf>
    <xf numFmtId="3" fontId="0" fillId="0" borderId="50" xfId="0" applyNumberFormat="1" applyBorder="1" applyAlignment="1">
      <alignment/>
    </xf>
    <xf numFmtId="0" fontId="0" fillId="0" borderId="16" xfId="0" applyFill="1" applyBorder="1" applyAlignment="1">
      <alignment/>
    </xf>
    <xf numFmtId="3" fontId="0" fillId="0" borderId="20" xfId="0" applyNumberFormat="1" applyBorder="1" applyAlignment="1">
      <alignment/>
    </xf>
    <xf numFmtId="0" fontId="0" fillId="0" borderId="17" xfId="0" applyFill="1" applyBorder="1" applyAlignment="1">
      <alignment/>
    </xf>
    <xf numFmtId="3" fontId="0" fillId="0" borderId="17" xfId="0" applyNumberFormat="1" applyFill="1" applyBorder="1" applyAlignment="1">
      <alignment/>
    </xf>
    <xf numFmtId="3" fontId="0" fillId="0" borderId="71" xfId="0" applyNumberFormat="1" applyFill="1" applyBorder="1" applyAlignment="1">
      <alignment/>
    </xf>
    <xf numFmtId="3" fontId="0" fillId="0" borderId="26" xfId="0" applyNumberFormat="1" applyFill="1" applyBorder="1" applyAlignment="1">
      <alignment/>
    </xf>
    <xf numFmtId="3" fontId="0" fillId="0" borderId="27" xfId="0" applyNumberFormat="1" applyFill="1" applyBorder="1" applyAlignment="1">
      <alignment/>
    </xf>
    <xf numFmtId="3" fontId="0" fillId="0" borderId="58" xfId="0" applyNumberFormat="1" applyFill="1" applyBorder="1" applyAlignment="1">
      <alignment/>
    </xf>
    <xf numFmtId="3" fontId="0" fillId="0" borderId="49" xfId="0" applyNumberFormat="1" applyFill="1" applyBorder="1" applyAlignment="1">
      <alignment/>
    </xf>
    <xf numFmtId="3" fontId="0" fillId="0" borderId="50" xfId="0" applyNumberFormat="1" applyFill="1" applyBorder="1" applyAlignment="1">
      <alignment/>
    </xf>
    <xf numFmtId="3" fontId="0" fillId="0" borderId="54" xfId="0" applyNumberFormat="1" applyFill="1" applyBorder="1" applyAlignment="1">
      <alignment/>
    </xf>
    <xf numFmtId="3" fontId="0" fillId="0" borderId="32" xfId="0" applyNumberFormat="1" applyFont="1" applyBorder="1" applyAlignment="1">
      <alignment/>
    </xf>
    <xf numFmtId="3" fontId="0" fillId="0" borderId="34" xfId="0" applyNumberFormat="1" applyFont="1" applyBorder="1" applyAlignment="1">
      <alignment/>
    </xf>
    <xf numFmtId="3" fontId="0" fillId="0" borderId="85" xfId="0" applyNumberFormat="1" applyFont="1" applyFill="1" applyBorder="1" applyAlignment="1">
      <alignment/>
    </xf>
    <xf numFmtId="3" fontId="0" fillId="0" borderId="68" xfId="0" applyNumberFormat="1" applyFont="1" applyFill="1" applyBorder="1" applyAlignment="1">
      <alignment/>
    </xf>
    <xf numFmtId="3" fontId="0" fillId="0" borderId="89" xfId="0" applyNumberFormat="1" applyFont="1" applyFill="1" applyBorder="1" applyAlignment="1">
      <alignment/>
    </xf>
    <xf numFmtId="3" fontId="0" fillId="0" borderId="25" xfId="0" applyNumberFormat="1" applyFill="1" applyBorder="1" applyAlignment="1">
      <alignment/>
    </xf>
    <xf numFmtId="3" fontId="0" fillId="0" borderId="64" xfId="0" applyNumberFormat="1" applyFill="1" applyBorder="1" applyAlignment="1">
      <alignment/>
    </xf>
    <xf numFmtId="0" fontId="0" fillId="0" borderId="50" xfId="0" applyBorder="1" applyAlignment="1">
      <alignment/>
    </xf>
    <xf numFmtId="3" fontId="0" fillId="0" borderId="21" xfId="0" applyNumberFormat="1" applyFill="1" applyBorder="1" applyAlignment="1">
      <alignment/>
    </xf>
    <xf numFmtId="3" fontId="0" fillId="0" borderId="22" xfId="0" applyNumberFormat="1" applyFill="1" applyBorder="1" applyAlignment="1">
      <alignment/>
    </xf>
    <xf numFmtId="3" fontId="0" fillId="0" borderId="23" xfId="0" applyNumberFormat="1" applyFill="1" applyBorder="1" applyAlignment="1">
      <alignment/>
    </xf>
    <xf numFmtId="3" fontId="0" fillId="0" borderId="24" xfId="0" applyNumberFormat="1" applyFill="1" applyBorder="1" applyAlignment="1">
      <alignment/>
    </xf>
    <xf numFmtId="3" fontId="0" fillId="0" borderId="28" xfId="0" applyNumberFormat="1" applyFill="1" applyBorder="1" applyAlignment="1">
      <alignment/>
    </xf>
    <xf numFmtId="3" fontId="0" fillId="0" borderId="35" xfId="0" applyNumberFormat="1" applyBorder="1" applyAlignment="1">
      <alignment/>
    </xf>
    <xf numFmtId="3" fontId="49" fillId="0" borderId="63" xfId="0" applyNumberFormat="1" applyFont="1" applyFill="1" applyBorder="1" applyAlignment="1">
      <alignment/>
    </xf>
    <xf numFmtId="3" fontId="49" fillId="0" borderId="52" xfId="0" applyNumberFormat="1" applyFont="1" applyFill="1" applyBorder="1" applyAlignment="1">
      <alignment/>
    </xf>
    <xf numFmtId="3" fontId="49" fillId="0" borderId="53" xfId="0" applyNumberFormat="1" applyFont="1" applyFill="1" applyBorder="1" applyAlignment="1">
      <alignment/>
    </xf>
    <xf numFmtId="3" fontId="49" fillId="0" borderId="46" xfId="0" applyNumberFormat="1" applyFont="1" applyFill="1" applyBorder="1" applyAlignment="1">
      <alignment/>
    </xf>
    <xf numFmtId="3" fontId="49" fillId="0" borderId="8" xfId="0" applyNumberFormat="1" applyFont="1" applyFill="1" applyBorder="1" applyAlignment="1">
      <alignment/>
    </xf>
    <xf numFmtId="3" fontId="49" fillId="0" borderId="30" xfId="0" applyNumberFormat="1" applyFont="1" applyFill="1" applyBorder="1" applyAlignment="1">
      <alignment/>
    </xf>
    <xf numFmtId="1" fontId="4" fillId="40" borderId="21" xfId="62" applyFont="1" applyFill="1" applyBorder="1">
      <alignment horizontal="left"/>
      <protection/>
    </xf>
    <xf numFmtId="164" fontId="4" fillId="40" borderId="21" xfId="63" applyFont="1" applyFill="1" applyBorder="1" applyAlignment="1">
      <alignment horizontal="center" vertical="center"/>
      <protection/>
    </xf>
    <xf numFmtId="164" fontId="4" fillId="40" borderId="22" xfId="0" applyNumberFormat="1" applyFont="1" applyFill="1" applyBorder="1" applyAlignment="1">
      <alignment horizontal="center"/>
    </xf>
    <xf numFmtId="164" fontId="4" fillId="40" borderId="23" xfId="0" applyNumberFormat="1" applyFont="1" applyFill="1" applyBorder="1" applyAlignment="1">
      <alignment horizontal="center"/>
    </xf>
    <xf numFmtId="164" fontId="4" fillId="40" borderId="74" xfId="0" applyNumberFormat="1" applyFont="1" applyFill="1" applyBorder="1" applyAlignment="1">
      <alignment horizontal="center"/>
    </xf>
    <xf numFmtId="1" fontId="4" fillId="40" borderId="8" xfId="0" applyNumberFormat="1" applyFont="1" applyFill="1" applyBorder="1" applyAlignment="1">
      <alignment/>
    </xf>
    <xf numFmtId="0" fontId="4" fillId="40" borderId="8" xfId="0" applyFont="1" applyFill="1" applyBorder="1" applyAlignment="1">
      <alignment horizontal="center"/>
    </xf>
    <xf numFmtId="0" fontId="0" fillId="0" borderId="8" xfId="0" applyBorder="1" applyAlignment="1">
      <alignment vertical="center"/>
    </xf>
    <xf numFmtId="0" fontId="52" fillId="0" borderId="8" xfId="0" applyFont="1" applyBorder="1" applyAlignment="1">
      <alignment horizontal="justify" vertical="center" wrapText="1"/>
    </xf>
    <xf numFmtId="0" fontId="52" fillId="0" borderId="39" xfId="0" applyFont="1" applyBorder="1" applyAlignment="1">
      <alignment horizontal="center" vertical="center" wrapText="1"/>
    </xf>
    <xf numFmtId="169" fontId="52" fillId="0" borderId="39" xfId="0" applyNumberFormat="1" applyFont="1" applyBorder="1" applyAlignment="1">
      <alignment horizontal="right" vertical="center" wrapText="1"/>
    </xf>
    <xf numFmtId="0" fontId="52" fillId="0" borderId="19" xfId="0" applyFont="1" applyBorder="1" applyAlignment="1">
      <alignment horizontal="justify" vertical="center" wrapText="1"/>
    </xf>
    <xf numFmtId="0" fontId="52" fillId="0" borderId="40" xfId="0" applyFont="1" applyBorder="1" applyAlignment="1">
      <alignment horizontal="center" vertical="center" wrapText="1"/>
    </xf>
    <xf numFmtId="0" fontId="52" fillId="0" borderId="40" xfId="0" applyFont="1" applyBorder="1" applyAlignment="1">
      <alignment horizontal="right" vertical="center" wrapText="1"/>
    </xf>
    <xf numFmtId="0" fontId="52" fillId="0" borderId="33" xfId="0" applyFont="1" applyBorder="1" applyAlignment="1">
      <alignment horizontal="justify" vertical="center" wrapText="1"/>
    </xf>
    <xf numFmtId="0" fontId="0" fillId="0" borderId="41" xfId="0" applyFont="1" applyBorder="1" applyAlignment="1">
      <alignment vertical="center" wrapText="1"/>
    </xf>
    <xf numFmtId="0" fontId="52" fillId="0" borderId="41" xfId="0" applyFont="1" applyBorder="1" applyAlignment="1">
      <alignment horizontal="center" vertical="center" wrapText="1"/>
    </xf>
    <xf numFmtId="169" fontId="50" fillId="0" borderId="0" xfId="48" applyNumberFormat="1" applyFont="1" applyBorder="1" applyAlignment="1">
      <alignment/>
    </xf>
    <xf numFmtId="0" fontId="43" fillId="0" borderId="0" xfId="0" applyFont="1" applyAlignment="1">
      <alignment/>
    </xf>
    <xf numFmtId="9" fontId="0" fillId="0" borderId="8" xfId="48" applyFont="1" applyBorder="1" applyAlignment="1">
      <alignment/>
    </xf>
    <xf numFmtId="9" fontId="4" fillId="40" borderId="8" xfId="0" applyNumberFormat="1" applyFont="1" applyFill="1" applyBorder="1" applyAlignment="1">
      <alignment/>
    </xf>
    <xf numFmtId="0" fontId="37" fillId="0" borderId="0" xfId="0" applyFont="1" applyAlignment="1">
      <alignment/>
    </xf>
    <xf numFmtId="0" fontId="20" fillId="0" borderId="8" xfId="0" applyFont="1" applyBorder="1" applyAlignment="1">
      <alignment/>
    </xf>
    <xf numFmtId="0" fontId="4" fillId="0" borderId="8" xfId="0" applyFont="1" applyBorder="1" applyAlignment="1">
      <alignment vertical="center"/>
    </xf>
    <xf numFmtId="0" fontId="20" fillId="0" borderId="8" xfId="0" applyFont="1" applyBorder="1" applyAlignment="1">
      <alignment vertical="center"/>
    </xf>
    <xf numFmtId="169" fontId="20" fillId="0" borderId="8" xfId="0" applyNumberFormat="1" applyFont="1" applyBorder="1" applyAlignment="1">
      <alignment vertical="center"/>
    </xf>
    <xf numFmtId="0" fontId="0" fillId="0" borderId="50" xfId="0" applyBorder="1" applyAlignment="1">
      <alignment vertical="center"/>
    </xf>
    <xf numFmtId="169" fontId="0" fillId="0" borderId="50" xfId="0" applyNumberFormat="1" applyBorder="1" applyAlignment="1">
      <alignment vertical="center"/>
    </xf>
    <xf numFmtId="0" fontId="0" fillId="0" borderId="19" xfId="0" applyBorder="1" applyAlignment="1">
      <alignment vertical="center"/>
    </xf>
    <xf numFmtId="10" fontId="0" fillId="0" borderId="19" xfId="0" applyNumberForma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169" fontId="0" fillId="0" borderId="33" xfId="0" applyNumberFormat="1" applyBorder="1" applyAlignment="1">
      <alignment vertical="center"/>
    </xf>
    <xf numFmtId="9" fontId="0" fillId="0" borderId="33" xfId="0" applyNumberFormat="1" applyBorder="1" applyAlignment="1">
      <alignment vertical="center"/>
    </xf>
    <xf numFmtId="0" fontId="54" fillId="0" borderId="8" xfId="0" applyFont="1" applyFill="1" applyBorder="1" applyAlignment="1">
      <alignment horizontal="justify" vertical="center" wrapText="1"/>
    </xf>
    <xf numFmtId="0" fontId="55" fillId="0" borderId="8" xfId="0" applyFont="1" applyBorder="1" applyAlignment="1">
      <alignment vertical="center"/>
    </xf>
    <xf numFmtId="1" fontId="20" fillId="0" borderId="8" xfId="0" applyNumberFormat="1" applyFont="1" applyBorder="1" applyAlignment="1">
      <alignment/>
    </xf>
    <xf numFmtId="0" fontId="0" fillId="0" borderId="60" xfId="0" applyBorder="1" applyAlignment="1">
      <alignment/>
    </xf>
    <xf numFmtId="0" fontId="0" fillId="0" borderId="83" xfId="0" applyBorder="1" applyAlignment="1">
      <alignment/>
    </xf>
    <xf numFmtId="0" fontId="0" fillId="0" borderId="61" xfId="0" applyBorder="1" applyAlignment="1">
      <alignment/>
    </xf>
    <xf numFmtId="0" fontId="0" fillId="0" borderId="62" xfId="0" applyBorder="1" applyAlignment="1">
      <alignment/>
    </xf>
    <xf numFmtId="10" fontId="22" fillId="0" borderId="19" xfId="48" applyNumberFormat="1" applyFont="1" applyBorder="1" applyAlignment="1">
      <alignment/>
    </xf>
    <xf numFmtId="173" fontId="0" fillId="0" borderId="33" xfId="48" applyNumberFormat="1" applyFont="1" applyFill="1" applyBorder="1" applyAlignment="1">
      <alignment/>
    </xf>
    <xf numFmtId="0" fontId="23" fillId="0" borderId="59" xfId="0" applyFont="1" applyBorder="1" applyAlignment="1">
      <alignment horizontal="right"/>
    </xf>
    <xf numFmtId="0" fontId="23" fillId="0" borderId="65" xfId="0" applyFont="1" applyBorder="1" applyAlignment="1">
      <alignment/>
    </xf>
    <xf numFmtId="0" fontId="23" fillId="0" borderId="28" xfId="0" applyFont="1" applyBorder="1" applyAlignment="1">
      <alignment horizontal="right"/>
    </xf>
    <xf numFmtId="0" fontId="23" fillId="0" borderId="35" xfId="0" applyFont="1" applyBorder="1" applyAlignment="1">
      <alignment/>
    </xf>
    <xf numFmtId="0" fontId="23" fillId="0" borderId="17" xfId="0" applyFont="1" applyBorder="1" applyAlignment="1">
      <alignment/>
    </xf>
    <xf numFmtId="0" fontId="0" fillId="41" borderId="61" xfId="0" applyFill="1" applyBorder="1" applyAlignment="1">
      <alignment horizontal="right"/>
    </xf>
    <xf numFmtId="0" fontId="0" fillId="41" borderId="62" xfId="0" applyFill="1" applyBorder="1" applyAlignment="1">
      <alignment horizontal="right"/>
    </xf>
    <xf numFmtId="0" fontId="23" fillId="41" borderId="61" xfId="0" applyFont="1" applyFill="1" applyBorder="1" applyAlignment="1">
      <alignment horizontal="right"/>
    </xf>
    <xf numFmtId="169" fontId="22" fillId="41" borderId="50" xfId="48" applyNumberFormat="1" applyFont="1" applyFill="1" applyBorder="1" applyAlignment="1">
      <alignment/>
    </xf>
    <xf numFmtId="169" fontId="22" fillId="41" borderId="19" xfId="48" applyNumberFormat="1" applyFont="1" applyFill="1" applyBorder="1" applyAlignment="1">
      <alignment/>
    </xf>
    <xf numFmtId="0" fontId="0" fillId="42" borderId="52" xfId="0" applyFill="1" applyBorder="1" applyAlignment="1">
      <alignment horizontal="center"/>
    </xf>
    <xf numFmtId="0" fontId="0" fillId="42" borderId="8" xfId="0" applyFill="1" applyBorder="1" applyAlignment="1">
      <alignment horizontal="center"/>
    </xf>
    <xf numFmtId="0" fontId="0" fillId="42" borderId="37" xfId="0" applyFill="1" applyBorder="1" applyAlignment="1">
      <alignment horizontal="center"/>
    </xf>
    <xf numFmtId="0" fontId="0" fillId="41" borderId="52" xfId="0" applyFill="1" applyBorder="1" applyAlignment="1">
      <alignment horizontal="center"/>
    </xf>
    <xf numFmtId="0" fontId="0" fillId="41" borderId="8" xfId="0" applyFill="1" applyBorder="1" applyAlignment="1">
      <alignment horizontal="center"/>
    </xf>
    <xf numFmtId="0" fontId="0" fillId="41" borderId="37" xfId="0" applyFill="1" applyBorder="1" applyAlignment="1">
      <alignment horizontal="center"/>
    </xf>
    <xf numFmtId="0" fontId="56" fillId="0" borderId="8" xfId="0" applyFont="1" applyBorder="1" applyAlignment="1">
      <alignment/>
    </xf>
    <xf numFmtId="0" fontId="56" fillId="0" borderId="14" xfId="0" applyFont="1" applyBorder="1" applyAlignment="1">
      <alignment/>
    </xf>
    <xf numFmtId="10" fontId="56" fillId="0" borderId="39" xfId="0" applyNumberFormat="1" applyFont="1" applyBorder="1" applyAlignment="1">
      <alignment/>
    </xf>
    <xf numFmtId="0" fontId="0" fillId="40" borderId="73" xfId="0" applyFill="1" applyBorder="1" applyAlignment="1">
      <alignment/>
    </xf>
    <xf numFmtId="0" fontId="23" fillId="40" borderId="22" xfId="0" applyFont="1" applyFill="1" applyBorder="1" applyAlignment="1">
      <alignment horizontal="center" vertical="top" wrapText="1"/>
    </xf>
    <xf numFmtId="0" fontId="23" fillId="40" borderId="23" xfId="0" applyFont="1" applyFill="1" applyBorder="1" applyAlignment="1">
      <alignment horizontal="center" vertical="top" wrapText="1"/>
    </xf>
    <xf numFmtId="0" fontId="23" fillId="40" borderId="44" xfId="0" applyFont="1" applyFill="1" applyBorder="1" applyAlignment="1">
      <alignment horizontal="center" vertical="top" wrapText="1"/>
    </xf>
    <xf numFmtId="0" fontId="23" fillId="40" borderId="21" xfId="0" applyFont="1" applyFill="1" applyBorder="1" applyAlignment="1">
      <alignment vertical="top"/>
    </xf>
    <xf numFmtId="0" fontId="23" fillId="40" borderId="73" xfId="0" applyFont="1" applyFill="1" applyBorder="1" applyAlignment="1">
      <alignment horizontal="center" vertical="top"/>
    </xf>
    <xf numFmtId="0" fontId="25" fillId="40" borderId="23" xfId="0" applyFont="1" applyFill="1" applyBorder="1" applyAlignment="1">
      <alignment horizontal="center" vertical="top" wrapText="1"/>
    </xf>
    <xf numFmtId="0" fontId="25" fillId="40" borderId="44" xfId="0" applyFont="1" applyFill="1" applyBorder="1" applyAlignment="1">
      <alignment horizontal="center" vertical="top" wrapText="1"/>
    </xf>
    <xf numFmtId="0" fontId="23" fillId="40" borderId="21" xfId="0" applyFont="1" applyFill="1" applyBorder="1" applyAlignment="1">
      <alignment vertical="top"/>
    </xf>
    <xf numFmtId="0" fontId="25" fillId="40" borderId="22" xfId="0" applyFont="1" applyFill="1" applyBorder="1" applyAlignment="1">
      <alignment horizontal="center" vertical="top" wrapText="1"/>
    </xf>
    <xf numFmtId="0" fontId="23" fillId="40" borderId="55" xfId="0" applyFont="1" applyFill="1" applyBorder="1" applyAlignment="1">
      <alignment horizontal="center" vertical="top" wrapText="1"/>
    </xf>
    <xf numFmtId="0" fontId="23" fillId="40" borderId="23" xfId="0" applyFont="1" applyFill="1" applyBorder="1" applyAlignment="1">
      <alignment horizontal="center" vertical="top" wrapText="1"/>
    </xf>
    <xf numFmtId="0" fontId="23" fillId="40" borderId="24" xfId="0" applyFont="1" applyFill="1" applyBorder="1" applyAlignment="1">
      <alignment horizontal="center" vertical="top" wrapText="1"/>
    </xf>
    <xf numFmtId="0" fontId="57" fillId="0" borderId="8" xfId="0" applyFont="1" applyBorder="1" applyAlignment="1">
      <alignment/>
    </xf>
    <xf numFmtId="0" fontId="57" fillId="0" borderId="14" xfId="0" applyFont="1" applyBorder="1" applyAlignment="1">
      <alignment/>
    </xf>
    <xf numFmtId="169" fontId="57" fillId="0" borderId="39" xfId="0" applyNumberFormat="1" applyFont="1" applyBorder="1" applyAlignment="1">
      <alignment/>
    </xf>
    <xf numFmtId="0" fontId="57" fillId="0" borderId="33" xfId="0" applyFont="1" applyBorder="1" applyAlignment="1">
      <alignment/>
    </xf>
    <xf numFmtId="0" fontId="57" fillId="0" borderId="13" xfId="0" applyFont="1" applyBorder="1" applyAlignment="1">
      <alignment/>
    </xf>
    <xf numFmtId="10" fontId="57" fillId="0" borderId="41" xfId="0" applyNumberFormat="1" applyFont="1" applyBorder="1" applyAlignment="1">
      <alignment/>
    </xf>
    <xf numFmtId="10" fontId="57" fillId="41" borderId="39" xfId="0" applyNumberFormat="1" applyFont="1" applyFill="1" applyBorder="1" applyAlignment="1">
      <alignment/>
    </xf>
    <xf numFmtId="0" fontId="58" fillId="0" borderId="0" xfId="0" applyFont="1" applyAlignment="1">
      <alignment/>
    </xf>
    <xf numFmtId="3" fontId="0" fillId="0" borderId="83" xfId="0" applyNumberFormat="1" applyBorder="1" applyAlignment="1">
      <alignment/>
    </xf>
    <xf numFmtId="0" fontId="4" fillId="0" borderId="62" xfId="0" applyFont="1" applyBorder="1" applyAlignment="1">
      <alignment/>
    </xf>
    <xf numFmtId="169" fontId="0" fillId="0" borderId="13" xfId="0" applyNumberFormat="1" applyBorder="1" applyAlignment="1">
      <alignment/>
    </xf>
    <xf numFmtId="0" fontId="4" fillId="0" borderId="61" xfId="0" applyFont="1" applyBorder="1" applyAlignment="1">
      <alignment/>
    </xf>
    <xf numFmtId="169" fontId="4" fillId="0" borderId="40" xfId="48" applyNumberFormat="1" applyFont="1" applyBorder="1" applyAlignment="1">
      <alignment/>
    </xf>
    <xf numFmtId="0" fontId="4" fillId="0" borderId="19" xfId="0" applyFont="1" applyBorder="1" applyAlignment="1">
      <alignment/>
    </xf>
    <xf numFmtId="0" fontId="4" fillId="40" borderId="39" xfId="0" applyFont="1" applyFill="1" applyBorder="1" applyAlignment="1">
      <alignment horizontal="center"/>
    </xf>
    <xf numFmtId="0" fontId="0" fillId="40" borderId="8" xfId="0" applyFill="1" applyBorder="1" applyAlignment="1">
      <alignment/>
    </xf>
    <xf numFmtId="0" fontId="0" fillId="0" borderId="19" xfId="0" applyFont="1" applyBorder="1" applyAlignment="1">
      <alignment/>
    </xf>
    <xf numFmtId="10" fontId="0" fillId="0" borderId="19" xfId="0" applyNumberFormat="1" applyFont="1" applyBorder="1" applyAlignment="1">
      <alignment/>
    </xf>
    <xf numFmtId="3" fontId="4" fillId="40" borderId="8" xfId="0" applyNumberFormat="1" applyFont="1" applyFill="1" applyBorder="1" applyAlignment="1">
      <alignment horizontal="center" vertical="top"/>
    </xf>
    <xf numFmtId="3" fontId="4" fillId="40" borderId="39" xfId="0" applyNumberFormat="1" applyFont="1" applyFill="1" applyBorder="1" applyAlignment="1">
      <alignment horizontal="center" vertical="top"/>
    </xf>
    <xf numFmtId="10" fontId="4" fillId="0" borderId="8" xfId="0" applyNumberFormat="1" applyFont="1" applyBorder="1" applyAlignment="1">
      <alignment/>
    </xf>
    <xf numFmtId="3" fontId="4" fillId="0" borderId="39" xfId="0" applyNumberFormat="1" applyFont="1" applyBorder="1" applyAlignment="1">
      <alignment/>
    </xf>
    <xf numFmtId="10" fontId="33" fillId="0" borderId="8" xfId="48" applyNumberFormat="1" applyFont="1" applyBorder="1" applyAlignment="1">
      <alignment/>
    </xf>
    <xf numFmtId="10" fontId="33" fillId="0" borderId="33" xfId="48" applyNumberFormat="1" applyFont="1" applyBorder="1" applyAlignment="1">
      <alignment/>
    </xf>
    <xf numFmtId="169" fontId="0" fillId="0" borderId="0" xfId="0" applyNumberFormat="1" applyBorder="1" applyAlignment="1">
      <alignment/>
    </xf>
    <xf numFmtId="169" fontId="0" fillId="0" borderId="40" xfId="0" applyNumberFormat="1" applyBorder="1" applyAlignment="1">
      <alignment/>
    </xf>
    <xf numFmtId="0" fontId="20" fillId="0" borderId="62" xfId="0" applyFont="1" applyBorder="1" applyAlignment="1">
      <alignment/>
    </xf>
    <xf numFmtId="0" fontId="42" fillId="0" borderId="0" xfId="0" applyFont="1" applyAlignment="1">
      <alignment/>
    </xf>
    <xf numFmtId="0" fontId="43" fillId="0" borderId="0" xfId="0" applyFont="1" applyFill="1" applyBorder="1" applyAlignment="1">
      <alignment/>
    </xf>
    <xf numFmtId="0" fontId="4" fillId="40" borderId="21" xfId="0" applyFont="1" applyFill="1" applyBorder="1" applyAlignment="1">
      <alignment horizontal="right"/>
    </xf>
    <xf numFmtId="0" fontId="4" fillId="40" borderId="74" xfId="0" applyFont="1" applyFill="1" applyBorder="1" applyAlignment="1">
      <alignment/>
    </xf>
    <xf numFmtId="0" fontId="4" fillId="40" borderId="73" xfId="0" applyFont="1" applyFill="1" applyBorder="1" applyAlignment="1">
      <alignment/>
    </xf>
    <xf numFmtId="3" fontId="0" fillId="0" borderId="28" xfId="0" applyNumberFormat="1" applyFont="1" applyBorder="1" applyAlignment="1">
      <alignment/>
    </xf>
    <xf numFmtId="0" fontId="4" fillId="40" borderId="22" xfId="0" applyFont="1" applyFill="1" applyBorder="1" applyAlignment="1">
      <alignment/>
    </xf>
    <xf numFmtId="0" fontId="4" fillId="40" borderId="23" xfId="0" applyFont="1" applyFill="1" applyBorder="1" applyAlignment="1">
      <alignment/>
    </xf>
    <xf numFmtId="0" fontId="4" fillId="40" borderId="24" xfId="0" applyFont="1" applyFill="1" applyBorder="1" applyAlignment="1">
      <alignment/>
    </xf>
    <xf numFmtId="0" fontId="0" fillId="0" borderId="85" xfId="0" applyFont="1" applyBorder="1" applyAlignment="1">
      <alignment/>
    </xf>
    <xf numFmtId="0" fontId="0" fillId="0" borderId="68" xfId="0" applyFont="1" applyBorder="1" applyAlignment="1">
      <alignment/>
    </xf>
    <xf numFmtId="0" fontId="0" fillId="0" borderId="89" xfId="0" applyFont="1" applyBorder="1" applyAlignment="1">
      <alignment/>
    </xf>
    <xf numFmtId="3" fontId="0" fillId="0" borderId="27" xfId="0" applyNumberFormat="1" applyBorder="1" applyAlignment="1">
      <alignment/>
    </xf>
    <xf numFmtId="3" fontId="4" fillId="0" borderId="17" xfId="0" applyNumberFormat="1" applyFont="1" applyFill="1" applyBorder="1" applyAlignment="1">
      <alignment/>
    </xf>
    <xf numFmtId="9" fontId="0" fillId="0" borderId="28" xfId="48" applyFont="1" applyBorder="1" applyAlignment="1">
      <alignment/>
    </xf>
    <xf numFmtId="0" fontId="21" fillId="40" borderId="21" xfId="0" applyFont="1" applyFill="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0" fillId="0" borderId="63" xfId="0" applyNumberFormat="1" applyFont="1" applyBorder="1" applyAlignment="1">
      <alignment/>
    </xf>
    <xf numFmtId="3" fontId="0" fillId="0" borderId="52" xfId="0" applyNumberFormat="1" applyFont="1" applyBorder="1" applyAlignment="1">
      <alignment/>
    </xf>
    <xf numFmtId="3" fontId="0" fillId="0" borderId="53" xfId="0" applyNumberFormat="1" applyFont="1" applyBorder="1" applyAlignment="1">
      <alignment/>
    </xf>
    <xf numFmtId="172" fontId="0" fillId="0" borderId="18" xfId="0" applyNumberFormat="1" applyBorder="1" applyAlignment="1">
      <alignment/>
    </xf>
    <xf numFmtId="172" fontId="0" fillId="0" borderId="19" xfId="0" applyNumberFormat="1" applyBorder="1" applyAlignment="1">
      <alignment/>
    </xf>
    <xf numFmtId="172" fontId="0" fillId="0" borderId="20" xfId="0" applyNumberFormat="1" applyBorder="1" applyAlignment="1">
      <alignment/>
    </xf>
    <xf numFmtId="0" fontId="10" fillId="0" borderId="60" xfId="0" applyFont="1" applyBorder="1" applyAlignment="1">
      <alignment/>
    </xf>
    <xf numFmtId="0" fontId="10" fillId="0" borderId="83" xfId="0" applyFont="1" applyBorder="1" applyAlignment="1">
      <alignment/>
    </xf>
    <xf numFmtId="0" fontId="0" fillId="0" borderId="62" xfId="0" applyFont="1" applyBorder="1" applyAlignment="1">
      <alignment/>
    </xf>
    <xf numFmtId="0" fontId="10" fillId="0" borderId="48" xfId="0" applyFont="1" applyBorder="1" applyAlignment="1">
      <alignment/>
    </xf>
    <xf numFmtId="3" fontId="10" fillId="0" borderId="14" xfId="0" applyNumberFormat="1" applyFont="1" applyBorder="1" applyAlignment="1">
      <alignment/>
    </xf>
    <xf numFmtId="0" fontId="10" fillId="0" borderId="39" xfId="0" applyFont="1" applyBorder="1" applyAlignment="1">
      <alignment/>
    </xf>
    <xf numFmtId="0" fontId="4" fillId="0" borderId="40" xfId="0" applyFont="1" applyBorder="1" applyAlignment="1">
      <alignment/>
    </xf>
    <xf numFmtId="3" fontId="20" fillId="0" borderId="13" xfId="0" applyNumberFormat="1" applyFont="1" applyBorder="1" applyAlignment="1">
      <alignment/>
    </xf>
    <xf numFmtId="0" fontId="20" fillId="0" borderId="41" xfId="0" applyFont="1" applyBorder="1" applyAlignment="1">
      <alignment/>
    </xf>
    <xf numFmtId="0" fontId="10" fillId="0" borderId="62" xfId="0" applyFont="1" applyBorder="1" applyAlignment="1">
      <alignment/>
    </xf>
    <xf numFmtId="0" fontId="10" fillId="0" borderId="13" xfId="0" applyFont="1" applyBorder="1" applyAlignment="1">
      <alignment/>
    </xf>
    <xf numFmtId="10" fontId="0" fillId="0" borderId="40" xfId="0" applyNumberFormat="1" applyBorder="1" applyAlignment="1">
      <alignment/>
    </xf>
    <xf numFmtId="169" fontId="10" fillId="0" borderId="60" xfId="48" applyNumberFormat="1" applyFont="1" applyBorder="1" applyAlignment="1">
      <alignment/>
    </xf>
    <xf numFmtId="3" fontId="10" fillId="0" borderId="62" xfId="0" applyNumberFormat="1" applyFont="1" applyBorder="1" applyAlignment="1">
      <alignment/>
    </xf>
    <xf numFmtId="169" fontId="10" fillId="0" borderId="62" xfId="48" applyNumberFormat="1" applyFont="1" applyBorder="1" applyAlignment="1">
      <alignment/>
    </xf>
    <xf numFmtId="10" fontId="48" fillId="0" borderId="42" xfId="0" applyNumberFormat="1" applyFont="1" applyBorder="1" applyAlignment="1">
      <alignment horizontal="center"/>
    </xf>
    <xf numFmtId="0" fontId="20" fillId="0" borderId="66" xfId="0" applyFont="1" applyBorder="1" applyAlignment="1">
      <alignment/>
    </xf>
    <xf numFmtId="3" fontId="20" fillId="0" borderId="42" xfId="0" applyNumberFormat="1" applyFont="1" applyBorder="1" applyAlignment="1">
      <alignment/>
    </xf>
    <xf numFmtId="3" fontId="20" fillId="0" borderId="18" xfId="0" applyNumberFormat="1" applyFont="1" applyBorder="1" applyAlignment="1">
      <alignment/>
    </xf>
    <xf numFmtId="3" fontId="20" fillId="0" borderId="19" xfId="0" applyNumberFormat="1" applyFont="1" applyBorder="1" applyAlignment="1">
      <alignment/>
    </xf>
    <xf numFmtId="3" fontId="20" fillId="0" borderId="20" xfId="0" applyNumberFormat="1" applyFont="1" applyBorder="1" applyAlignment="1">
      <alignment/>
    </xf>
    <xf numFmtId="3" fontId="20" fillId="0" borderId="0" xfId="0" applyNumberFormat="1" applyFont="1" applyBorder="1" applyAlignment="1">
      <alignment/>
    </xf>
    <xf numFmtId="0" fontId="4" fillId="40" borderId="82" xfId="0" applyFont="1" applyFill="1" applyBorder="1" applyAlignment="1">
      <alignment horizontal="right"/>
    </xf>
    <xf numFmtId="3" fontId="20" fillId="0" borderId="16" xfId="0" applyNumberFormat="1" applyFont="1" applyBorder="1" applyAlignment="1">
      <alignment/>
    </xf>
    <xf numFmtId="0" fontId="0" fillId="0" borderId="41" xfId="0" applyFont="1" applyBorder="1" applyAlignment="1">
      <alignment/>
    </xf>
    <xf numFmtId="10" fontId="20" fillId="0" borderId="42" xfId="0" applyNumberFormat="1" applyFont="1" applyBorder="1" applyAlignment="1">
      <alignment/>
    </xf>
    <xf numFmtId="10" fontId="48" fillId="0" borderId="42" xfId="0" applyNumberFormat="1" applyFont="1" applyBorder="1" applyAlignment="1">
      <alignment/>
    </xf>
    <xf numFmtId="0" fontId="20" fillId="0" borderId="81" xfId="0" applyFont="1" applyBorder="1" applyAlignment="1">
      <alignment/>
    </xf>
    <xf numFmtId="0" fontId="10" fillId="0" borderId="16"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31" xfId="0" applyFont="1" applyBorder="1" applyAlignment="1">
      <alignment/>
    </xf>
    <xf numFmtId="173" fontId="10" fillId="0" borderId="32" xfId="0" applyNumberFormat="1" applyFont="1" applyBorder="1" applyAlignment="1">
      <alignment/>
    </xf>
    <xf numFmtId="173" fontId="10" fillId="0" borderId="33" xfId="0" applyNumberFormat="1" applyFont="1" applyBorder="1" applyAlignment="1">
      <alignment/>
    </xf>
    <xf numFmtId="173" fontId="10" fillId="0" borderId="34" xfId="0" applyNumberFormat="1" applyFont="1" applyBorder="1" applyAlignment="1">
      <alignment/>
    </xf>
    <xf numFmtId="3" fontId="4" fillId="0" borderId="31" xfId="0" applyNumberFormat="1" applyFont="1" applyBorder="1" applyAlignment="1">
      <alignment/>
    </xf>
    <xf numFmtId="3" fontId="20" fillId="0" borderId="33" xfId="0" applyNumberFormat="1" applyFont="1" applyBorder="1" applyAlignment="1">
      <alignment/>
    </xf>
    <xf numFmtId="169" fontId="0" fillId="0" borderId="50" xfId="48" applyNumberFormat="1" applyFont="1" applyBorder="1" applyAlignment="1">
      <alignment/>
    </xf>
    <xf numFmtId="169" fontId="4" fillId="0" borderId="33" xfId="48" applyNumberFormat="1" applyFont="1" applyBorder="1" applyAlignment="1">
      <alignment/>
    </xf>
    <xf numFmtId="0" fontId="4" fillId="0" borderId="60" xfId="0" applyFont="1" applyBorder="1" applyAlignment="1">
      <alignment/>
    </xf>
    <xf numFmtId="0" fontId="50" fillId="0" borderId="0" xfId="0" applyFont="1" applyAlignment="1">
      <alignment/>
    </xf>
    <xf numFmtId="0" fontId="45" fillId="0" borderId="0" xfId="0" applyFont="1" applyAlignment="1">
      <alignment/>
    </xf>
    <xf numFmtId="3" fontId="50" fillId="0" borderId="0" xfId="0" applyNumberFormat="1" applyFont="1" applyAlignment="1">
      <alignment/>
    </xf>
    <xf numFmtId="0" fontId="45" fillId="0" borderId="61" xfId="0" applyFont="1" applyBorder="1" applyAlignment="1">
      <alignment/>
    </xf>
    <xf numFmtId="0" fontId="45" fillId="0" borderId="0" xfId="0" applyFont="1" applyBorder="1" applyAlignment="1">
      <alignment/>
    </xf>
    <xf numFmtId="0" fontId="45" fillId="0" borderId="62" xfId="0" applyFont="1" applyBorder="1" applyAlignment="1">
      <alignment/>
    </xf>
    <xf numFmtId="0" fontId="45" fillId="0" borderId="13" xfId="0" applyFont="1" applyBorder="1" applyAlignment="1">
      <alignment/>
    </xf>
    <xf numFmtId="0" fontId="45" fillId="0" borderId="41" xfId="0" applyFont="1" applyBorder="1" applyAlignment="1">
      <alignment/>
    </xf>
    <xf numFmtId="3" fontId="33" fillId="0" borderId="74" xfId="0" applyNumberFormat="1" applyFont="1" applyBorder="1" applyAlignment="1">
      <alignment/>
    </xf>
    <xf numFmtId="3" fontId="33" fillId="0" borderId="21" xfId="0" applyNumberFormat="1" applyFont="1" applyBorder="1" applyAlignment="1">
      <alignment/>
    </xf>
    <xf numFmtId="174" fontId="0" fillId="0" borderId="61" xfId="0" applyNumberFormat="1" applyBorder="1" applyAlignment="1">
      <alignment/>
    </xf>
    <xf numFmtId="9" fontId="0" fillId="0" borderId="62" xfId="0" applyNumberFormat="1" applyBorder="1" applyAlignment="1">
      <alignment/>
    </xf>
    <xf numFmtId="3" fontId="20" fillId="0" borderId="62" xfId="0" applyNumberFormat="1" applyFont="1" applyBorder="1" applyAlignment="1">
      <alignment/>
    </xf>
    <xf numFmtId="0" fontId="0" fillId="0" borderId="8" xfId="0" applyBorder="1" applyAlignment="1">
      <alignment vertical="center" wrapText="1"/>
    </xf>
    <xf numFmtId="14" fontId="0" fillId="0" borderId="8" xfId="0" applyNumberFormat="1" applyBorder="1" applyAlignment="1">
      <alignment horizontal="left" vertical="center" wrapText="1"/>
    </xf>
    <xf numFmtId="0" fontId="4" fillId="0" borderId="48" xfId="0" applyFont="1" applyBorder="1" applyAlignment="1">
      <alignment vertical="center"/>
    </xf>
    <xf numFmtId="0" fontId="4" fillId="0" borderId="62" xfId="0" applyFont="1" applyBorder="1" applyAlignment="1">
      <alignment vertical="center"/>
    </xf>
    <xf numFmtId="0" fontId="34" fillId="0" borderId="0" xfId="0" applyFont="1" applyAlignment="1">
      <alignment horizontal="center" vertical="center"/>
    </xf>
    <xf numFmtId="0" fontId="35" fillId="0" borderId="0" xfId="0" applyFont="1" applyAlignment="1">
      <alignment horizontal="left" vertical="center"/>
    </xf>
    <xf numFmtId="0" fontId="18" fillId="0" borderId="0" xfId="0" applyFont="1" applyAlignment="1">
      <alignment horizontal="left" vertical="center"/>
    </xf>
    <xf numFmtId="0" fontId="38" fillId="40" borderId="8" xfId="0" applyFont="1" applyFill="1" applyBorder="1" applyAlignment="1">
      <alignment horizontal="center"/>
    </xf>
    <xf numFmtId="0" fontId="4" fillId="40" borderId="14" xfId="0" applyFont="1" applyFill="1" applyBorder="1" applyAlignment="1">
      <alignment horizontal="center"/>
    </xf>
    <xf numFmtId="166" fontId="59" fillId="0" borderId="0" xfId="57" applyFont="1" applyFill="1" applyBorder="1">
      <alignment horizontal="left"/>
      <protection/>
    </xf>
    <xf numFmtId="3" fontId="10" fillId="0" borderId="60" xfId="0" applyNumberFormat="1" applyFont="1" applyBorder="1" applyAlignment="1">
      <alignment/>
    </xf>
    <xf numFmtId="169" fontId="0" fillId="0" borderId="19" xfId="0" applyNumberFormat="1" applyBorder="1" applyAlignment="1">
      <alignment/>
    </xf>
    <xf numFmtId="169" fontId="20" fillId="0" borderId="14" xfId="0" applyNumberFormat="1" applyFont="1" applyBorder="1" applyAlignment="1">
      <alignment/>
    </xf>
    <xf numFmtId="169" fontId="20" fillId="0" borderId="8" xfId="0" applyNumberFormat="1" applyFont="1" applyBorder="1" applyAlignment="1">
      <alignment/>
    </xf>
    <xf numFmtId="0" fontId="4" fillId="40" borderId="60" xfId="0" applyFont="1" applyFill="1" applyBorder="1" applyAlignment="1">
      <alignment vertical="center"/>
    </xf>
    <xf numFmtId="0" fontId="4" fillId="40" borderId="50" xfId="0" applyFont="1" applyFill="1" applyBorder="1" applyAlignment="1">
      <alignment vertical="center"/>
    </xf>
    <xf numFmtId="0" fontId="4" fillId="40" borderId="49" xfId="0" applyFont="1" applyFill="1" applyBorder="1" applyAlignment="1">
      <alignment vertical="center"/>
    </xf>
    <xf numFmtId="0" fontId="4" fillId="40" borderId="62" xfId="0" applyFont="1" applyFill="1" applyBorder="1" applyAlignment="1">
      <alignment vertical="center"/>
    </xf>
    <xf numFmtId="0" fontId="4" fillId="40" borderId="41" xfId="0" applyFont="1" applyFill="1" applyBorder="1" applyAlignment="1">
      <alignment vertical="center"/>
    </xf>
    <xf numFmtId="0" fontId="4" fillId="40" borderId="33" xfId="0" applyFont="1" applyFill="1" applyBorder="1" applyAlignment="1">
      <alignment vertical="center"/>
    </xf>
    <xf numFmtId="0" fontId="41" fillId="40" borderId="62" xfId="0" applyFont="1" applyFill="1" applyBorder="1" applyAlignment="1">
      <alignment horizontal="center" vertical="center"/>
    </xf>
    <xf numFmtId="0" fontId="41" fillId="40" borderId="8" xfId="0" applyFont="1" applyFill="1" applyBorder="1" applyAlignment="1">
      <alignment horizontal="center" vertical="center"/>
    </xf>
    <xf numFmtId="49" fontId="0" fillId="0" borderId="8" xfId="0" applyNumberFormat="1" applyBorder="1" applyAlignment="1">
      <alignment horizontal="center" vertical="center"/>
    </xf>
    <xf numFmtId="49" fontId="0" fillId="0" borderId="8" xfId="0" applyNumberFormat="1" applyBorder="1" applyAlignment="1">
      <alignment horizontal="center" vertical="center" wrapText="1"/>
    </xf>
    <xf numFmtId="49" fontId="0" fillId="0" borderId="0" xfId="0" applyNumberFormat="1" applyAlignment="1">
      <alignment horizontal="center" vertical="center"/>
    </xf>
    <xf numFmtId="49" fontId="20" fillId="0" borderId="0" xfId="0" applyNumberFormat="1" applyFont="1" applyAlignment="1">
      <alignment horizontal="center" vertical="center"/>
    </xf>
    <xf numFmtId="0" fontId="15" fillId="0" borderId="0" xfId="36" applyAlignment="1" applyProtection="1">
      <alignment vertical="center"/>
      <protection/>
    </xf>
    <xf numFmtId="0" fontId="15" fillId="0" borderId="39" xfId="36" applyBorder="1" applyAlignment="1" applyProtection="1">
      <alignment vertical="center"/>
      <protection/>
    </xf>
    <xf numFmtId="0" fontId="15" fillId="0" borderId="14" xfId="36" applyBorder="1" applyAlignment="1" applyProtection="1">
      <alignment vertical="center"/>
      <protection/>
    </xf>
    <xf numFmtId="0" fontId="15" fillId="0" borderId="13" xfId="36" applyBorder="1" applyAlignment="1" applyProtection="1">
      <alignment vertical="center"/>
      <protection/>
    </xf>
    <xf numFmtId="0" fontId="0" fillId="0" borderId="48" xfId="0" applyBorder="1" applyAlignment="1">
      <alignment vertical="center"/>
    </xf>
    <xf numFmtId="0" fontId="0" fillId="0" borderId="39" xfId="0" applyBorder="1" applyAlignment="1">
      <alignment vertical="center"/>
    </xf>
    <xf numFmtId="3" fontId="0" fillId="0" borderId="48" xfId="0" applyNumberFormat="1" applyBorder="1" applyAlignment="1">
      <alignment vertical="center"/>
    </xf>
    <xf numFmtId="0" fontId="1" fillId="0" borderId="73" xfId="0" applyFont="1" applyBorder="1" applyAlignment="1">
      <alignment vertical="center"/>
    </xf>
    <xf numFmtId="0" fontId="1" fillId="0" borderId="55" xfId="0" applyFont="1" applyBorder="1" applyAlignment="1">
      <alignment vertical="center"/>
    </xf>
    <xf numFmtId="3" fontId="60" fillId="0" borderId="65" xfId="0" applyNumberFormat="1" applyFont="1" applyBorder="1" applyAlignment="1">
      <alignment vertical="center"/>
    </xf>
    <xf numFmtId="0" fontId="1" fillId="0" borderId="74" xfId="0" applyFont="1" applyBorder="1" applyAlignment="1">
      <alignment vertical="center"/>
    </xf>
    <xf numFmtId="0" fontId="10" fillId="0" borderId="0" xfId="0" applyFont="1" applyAlignment="1">
      <alignment/>
    </xf>
    <xf numFmtId="0" fontId="10" fillId="0" borderId="0" xfId="0" applyFont="1" applyAlignment="1">
      <alignment vertical="top"/>
    </xf>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xf>
    <xf numFmtId="0" fontId="15" fillId="0" borderId="0" xfId="36" applyAlignment="1" applyProtection="1">
      <alignment/>
      <protection/>
    </xf>
    <xf numFmtId="0" fontId="15" fillId="0" borderId="0" xfId="36" applyAlignment="1" applyProtection="1">
      <alignment horizontal="right" vertical="top"/>
      <protection/>
    </xf>
    <xf numFmtId="0" fontId="20" fillId="0" borderId="0" xfId="0" applyFont="1" applyBorder="1" applyAlignment="1">
      <alignment vertical="center"/>
    </xf>
    <xf numFmtId="0" fontId="37" fillId="0" borderId="0" xfId="0" applyFont="1" applyAlignment="1">
      <alignment vertical="top"/>
    </xf>
    <xf numFmtId="0" fontId="62" fillId="0" borderId="90" xfId="0" applyFont="1" applyBorder="1" applyAlignment="1">
      <alignment horizontal="center" vertical="top" wrapText="1"/>
    </xf>
    <xf numFmtId="0" fontId="62" fillId="0" borderId="91" xfId="0" applyFont="1" applyBorder="1" applyAlignment="1">
      <alignment horizontal="left" vertical="top"/>
    </xf>
    <xf numFmtId="0" fontId="62" fillId="0" borderId="92" xfId="0" applyFont="1" applyBorder="1" applyAlignment="1">
      <alignment horizontal="left" vertical="top" wrapText="1"/>
    </xf>
    <xf numFmtId="0" fontId="62" fillId="0" borderId="93" xfId="0" applyFont="1" applyBorder="1" applyAlignment="1">
      <alignment horizontal="center" vertical="top"/>
    </xf>
    <xf numFmtId="0" fontId="62" fillId="0" borderId="92" xfId="0" applyFont="1" applyBorder="1" applyAlignment="1">
      <alignment horizontal="right" vertical="top"/>
    </xf>
    <xf numFmtId="0" fontId="62" fillId="0" borderId="94" xfId="0" applyFont="1" applyBorder="1" applyAlignment="1">
      <alignment horizontal="right" vertical="top"/>
    </xf>
    <xf numFmtId="0" fontId="62" fillId="0" borderId="95" xfId="0" applyFont="1" applyBorder="1" applyAlignment="1">
      <alignment horizontal="right" vertical="top" wrapText="1"/>
    </xf>
    <xf numFmtId="0" fontId="62" fillId="0" borderId="95" xfId="0" applyFont="1" applyBorder="1" applyAlignment="1">
      <alignment horizontal="center" vertical="top" wrapText="1"/>
    </xf>
    <xf numFmtId="0" fontId="62" fillId="0" borderId="96" xfId="0" applyFont="1" applyBorder="1" applyAlignment="1">
      <alignment horizontal="center" vertical="top" wrapText="1"/>
    </xf>
    <xf numFmtId="0" fontId="62" fillId="0" borderId="97" xfId="0" applyFont="1" applyBorder="1" applyAlignment="1">
      <alignment horizontal="center" vertical="top" wrapText="1"/>
    </xf>
    <xf numFmtId="0" fontId="62" fillId="0" borderId="98" xfId="0" applyFont="1" applyBorder="1" applyAlignment="1">
      <alignment horizontal="center" vertical="top" wrapText="1"/>
    </xf>
    <xf numFmtId="0" fontId="62" fillId="0" borderId="99" xfId="0" applyFont="1" applyBorder="1" applyAlignment="1">
      <alignment horizontal="center" vertical="top" wrapText="1"/>
    </xf>
    <xf numFmtId="0" fontId="62" fillId="0" borderId="100" xfId="0" applyFont="1" applyBorder="1" applyAlignment="1">
      <alignment horizontal="center" vertical="top" wrapText="1"/>
    </xf>
    <xf numFmtId="0" fontId="63" fillId="0" borderId="101" xfId="0" applyFont="1" applyBorder="1" applyAlignment="1">
      <alignment horizontal="right" vertical="top" wrapText="1"/>
    </xf>
    <xf numFmtId="194" fontId="64" fillId="0" borderId="102" xfId="0" applyNumberFormat="1" applyFont="1" applyFill="1" applyBorder="1" applyAlignment="1" applyProtection="1">
      <alignment vertical="center"/>
      <protection/>
    </xf>
    <xf numFmtId="0" fontId="65" fillId="0" borderId="41" xfId="0" applyFont="1" applyBorder="1" applyAlignment="1">
      <alignment horizontal="center" vertical="center" wrapText="1"/>
    </xf>
    <xf numFmtId="0" fontId="65" fillId="0" borderId="103"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104" xfId="0" applyFont="1" applyBorder="1" applyAlignment="1">
      <alignment horizontal="center" vertical="center" wrapText="1"/>
    </xf>
    <xf numFmtId="0" fontId="65" fillId="0" borderId="105" xfId="0" applyFont="1" applyBorder="1" applyAlignment="1">
      <alignment horizontal="center" vertical="center" wrapText="1"/>
    </xf>
    <xf numFmtId="0" fontId="63" fillId="0" borderId="106" xfId="0" applyFont="1" applyBorder="1" applyAlignment="1">
      <alignment horizontal="right" vertical="top" wrapText="1"/>
    </xf>
    <xf numFmtId="194" fontId="64" fillId="0" borderId="107" xfId="0" applyNumberFormat="1" applyFont="1" applyFill="1" applyBorder="1" applyAlignment="1" applyProtection="1">
      <alignment vertical="center"/>
      <protection/>
    </xf>
    <xf numFmtId="0" fontId="65" fillId="0" borderId="48" xfId="0" applyFont="1" applyBorder="1" applyAlignment="1">
      <alignment horizontal="center" vertical="center" wrapText="1"/>
    </xf>
    <xf numFmtId="0" fontId="65" fillId="0" borderId="46" xfId="0" applyFont="1" applyBorder="1" applyAlignment="1">
      <alignment horizontal="center" vertical="center" wrapText="1"/>
    </xf>
    <xf numFmtId="194" fontId="64" fillId="0" borderId="108" xfId="0" applyNumberFormat="1" applyFont="1" applyFill="1" applyBorder="1" applyAlignment="1" applyProtection="1">
      <alignment vertical="center"/>
      <protection/>
    </xf>
    <xf numFmtId="0" fontId="65" fillId="0" borderId="40"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95" xfId="0" applyFont="1" applyBorder="1" applyAlignment="1">
      <alignment horizontal="center" vertical="center" wrapText="1"/>
    </xf>
    <xf numFmtId="0" fontId="65" fillId="0" borderId="109" xfId="0" applyFont="1" applyBorder="1" applyAlignment="1">
      <alignment horizontal="center" vertical="center" wrapText="1"/>
    </xf>
    <xf numFmtId="0" fontId="65" fillId="0" borderId="110" xfId="0" applyFont="1" applyBorder="1" applyAlignment="1">
      <alignment horizontal="center" vertical="center" wrapText="1"/>
    </xf>
    <xf numFmtId="0" fontId="65" fillId="0" borderId="111" xfId="0" applyFont="1" applyBorder="1" applyAlignment="1">
      <alignment horizontal="center" vertical="center" wrapText="1"/>
    </xf>
    <xf numFmtId="0" fontId="63" fillId="0" borderId="112" xfId="0" applyFont="1" applyBorder="1" applyAlignment="1">
      <alignment horizontal="right" vertical="top" wrapText="1"/>
    </xf>
    <xf numFmtId="194" fontId="64" fillId="0" borderId="113" xfId="0" applyNumberFormat="1" applyFont="1" applyFill="1" applyBorder="1" applyAlignment="1" applyProtection="1">
      <alignment vertical="center"/>
      <protection/>
    </xf>
    <xf numFmtId="0" fontId="65" fillId="0" borderId="114" xfId="0" applyFont="1" applyBorder="1" applyAlignment="1">
      <alignment horizontal="center" vertical="center" wrapText="1"/>
    </xf>
    <xf numFmtId="0" fontId="65" fillId="0" borderId="115" xfId="0" applyFont="1" applyBorder="1" applyAlignment="1">
      <alignment horizontal="center" vertical="center" wrapText="1"/>
    </xf>
    <xf numFmtId="0" fontId="65" fillId="0" borderId="116" xfId="0" applyFont="1" applyBorder="1" applyAlignment="1">
      <alignment horizontal="center" vertical="center" wrapText="1"/>
    </xf>
    <xf numFmtId="0" fontId="65" fillId="0" borderId="117" xfId="0" applyFont="1" applyBorder="1" applyAlignment="1">
      <alignment horizontal="center" vertical="center" wrapText="1"/>
    </xf>
    <xf numFmtId="0" fontId="65" fillId="0" borderId="118" xfId="0" applyFont="1" applyBorder="1" applyAlignment="1">
      <alignment horizontal="center" vertical="center" wrapText="1"/>
    </xf>
    <xf numFmtId="194" fontId="66" fillId="0" borderId="119" xfId="0" applyNumberFormat="1" applyFont="1" applyFill="1" applyBorder="1" applyAlignment="1" applyProtection="1">
      <alignment vertical="center"/>
      <protection/>
    </xf>
    <xf numFmtId="0" fontId="63" fillId="0" borderId="120" xfId="0" applyFont="1" applyBorder="1" applyAlignment="1">
      <alignment horizontal="center" vertical="center" wrapText="1"/>
    </xf>
    <xf numFmtId="0" fontId="63" fillId="0" borderId="97" xfId="0" applyFont="1" applyBorder="1" applyAlignment="1">
      <alignment horizontal="center" vertical="center" wrapText="1"/>
    </xf>
    <xf numFmtId="0" fontId="63" fillId="0" borderId="98" xfId="0" applyFont="1" applyBorder="1" applyAlignment="1">
      <alignment horizontal="center" vertical="center" wrapText="1"/>
    </xf>
    <xf numFmtId="0" fontId="63" fillId="0" borderId="99" xfId="0" applyFont="1" applyBorder="1" applyAlignment="1">
      <alignment horizontal="center" vertical="center" wrapText="1"/>
    </xf>
    <xf numFmtId="0" fontId="63" fillId="0" borderId="94" xfId="0" applyFont="1" applyBorder="1" applyAlignment="1">
      <alignment horizontal="center" vertical="center" wrapText="1"/>
    </xf>
    <xf numFmtId="0" fontId="63" fillId="0" borderId="60" xfId="0" applyFont="1" applyFill="1" applyBorder="1" applyAlignment="1">
      <alignment horizontal="left" vertical="center"/>
    </xf>
    <xf numFmtId="0" fontId="63" fillId="0" borderId="83" xfId="0" applyFont="1" applyBorder="1" applyAlignment="1">
      <alignment/>
    </xf>
    <xf numFmtId="194" fontId="63" fillId="0" borderId="49" xfId="0" applyNumberFormat="1" applyFont="1" applyBorder="1" applyAlignment="1">
      <alignment/>
    </xf>
    <xf numFmtId="0" fontId="63" fillId="0" borderId="61" xfId="0" applyFont="1" applyBorder="1" applyAlignment="1">
      <alignment/>
    </xf>
    <xf numFmtId="0" fontId="63" fillId="0" borderId="0" xfId="0" applyFont="1" applyBorder="1" applyAlignment="1">
      <alignment/>
    </xf>
    <xf numFmtId="194" fontId="63" fillId="0" borderId="40" xfId="0" applyNumberFormat="1" applyFont="1" applyBorder="1" applyAlignment="1">
      <alignment/>
    </xf>
    <xf numFmtId="0" fontId="62" fillId="0" borderId="48" xfId="0" applyFont="1" applyBorder="1" applyAlignment="1">
      <alignment/>
    </xf>
    <xf numFmtId="0" fontId="62" fillId="0" borderId="14" xfId="0" applyFont="1" applyBorder="1" applyAlignment="1">
      <alignment/>
    </xf>
    <xf numFmtId="9" fontId="62" fillId="0" borderId="39" xfId="48" applyFont="1" applyBorder="1" applyAlignment="1">
      <alignment/>
    </xf>
    <xf numFmtId="0" fontId="67" fillId="0" borderId="111" xfId="0" applyFont="1" applyBorder="1" applyAlignment="1">
      <alignment horizontal="left" vertical="top" wrapText="1"/>
    </xf>
    <xf numFmtId="0" fontId="67" fillId="0" borderId="105" xfId="0" applyFont="1" applyBorder="1" applyAlignment="1">
      <alignment horizontal="left" vertical="top" wrapText="1"/>
    </xf>
    <xf numFmtId="0" fontId="67" fillId="0" borderId="95" xfId="0" applyFont="1" applyBorder="1" applyAlignment="1">
      <alignment horizontal="left" vertical="top" wrapText="1"/>
    </xf>
    <xf numFmtId="0" fontId="67" fillId="0" borderId="100" xfId="0" applyFont="1" applyBorder="1" applyAlignment="1">
      <alignment horizontal="left" vertical="top" wrapText="1"/>
    </xf>
    <xf numFmtId="189" fontId="0" fillId="0" borderId="42" xfId="0" applyNumberFormat="1" applyBorder="1" applyAlignment="1">
      <alignment/>
    </xf>
    <xf numFmtId="189" fontId="0" fillId="0" borderId="44" xfId="0" applyNumberFormat="1" applyBorder="1" applyAlignment="1">
      <alignment/>
    </xf>
    <xf numFmtId="189" fontId="0" fillId="0" borderId="45" xfId="0" applyNumberFormat="1" applyBorder="1" applyAlignment="1">
      <alignment/>
    </xf>
    <xf numFmtId="0" fontId="13" fillId="0" borderId="0" xfId="0" applyFont="1" applyAlignment="1">
      <alignment/>
    </xf>
    <xf numFmtId="10" fontId="10" fillId="0" borderId="40" xfId="48" applyNumberFormat="1" applyFont="1" applyFill="1" applyBorder="1" applyAlignment="1">
      <alignment/>
    </xf>
    <xf numFmtId="197" fontId="0" fillId="0" borderId="0" xfId="0" applyNumberFormat="1" applyFill="1" applyBorder="1" applyAlignment="1">
      <alignment/>
    </xf>
    <xf numFmtId="189" fontId="0" fillId="0" borderId="0" xfId="0" applyNumberFormat="1" applyBorder="1" applyAlignment="1">
      <alignment/>
    </xf>
    <xf numFmtId="3" fontId="0" fillId="0" borderId="85" xfId="0" applyNumberFormat="1" applyFont="1" applyBorder="1" applyAlignment="1">
      <alignment horizontal="center"/>
    </xf>
    <xf numFmtId="3" fontId="0" fillId="0" borderId="89" xfId="0" applyNumberFormat="1" applyFont="1" applyBorder="1" applyAlignment="1">
      <alignment horizontal="center"/>
    </xf>
    <xf numFmtId="3" fontId="0" fillId="0" borderId="18" xfId="0" applyNumberFormat="1" applyFont="1" applyBorder="1" applyAlignment="1">
      <alignment horizontal="center"/>
    </xf>
    <xf numFmtId="3" fontId="0" fillId="0" borderId="20" xfId="0" applyNumberFormat="1" applyFont="1" applyBorder="1" applyAlignment="1">
      <alignment horizontal="center"/>
    </xf>
    <xf numFmtId="0" fontId="39" fillId="0" borderId="25" xfId="0" applyFont="1" applyBorder="1" applyAlignment="1">
      <alignment wrapText="1"/>
    </xf>
    <xf numFmtId="173" fontId="10" fillId="0" borderId="27" xfId="48" applyNumberFormat="1" applyFont="1" applyBorder="1" applyAlignment="1">
      <alignment vertical="center"/>
    </xf>
    <xf numFmtId="0" fontId="39" fillId="0" borderId="63" xfId="0" applyFont="1" applyBorder="1" applyAlignment="1">
      <alignment wrapText="1"/>
    </xf>
    <xf numFmtId="173" fontId="10" fillId="0" borderId="53" xfId="48" applyNumberFormat="1" applyFont="1" applyBorder="1" applyAlignment="1">
      <alignment vertical="center"/>
    </xf>
    <xf numFmtId="0" fontId="12" fillId="0" borderId="0" xfId="0" applyFont="1" applyFill="1" applyBorder="1" applyAlignment="1">
      <alignment/>
    </xf>
    <xf numFmtId="173" fontId="12" fillId="0" borderId="0" xfId="0" applyNumberFormat="1" applyFont="1" applyFill="1" applyBorder="1" applyAlignment="1">
      <alignment horizontal="center"/>
    </xf>
    <xf numFmtId="173" fontId="12" fillId="0" borderId="0" xfId="0" applyNumberFormat="1" applyFont="1" applyFill="1" applyBorder="1" applyAlignment="1">
      <alignment/>
    </xf>
    <xf numFmtId="0" fontId="4" fillId="40" borderId="25" xfId="0" applyFont="1" applyFill="1" applyBorder="1" applyAlignment="1">
      <alignment horizontal="center" vertical="top" wrapText="1"/>
    </xf>
    <xf numFmtId="0" fontId="4" fillId="40" borderId="27" xfId="0" applyFont="1" applyFill="1" applyBorder="1" applyAlignment="1">
      <alignment horizontal="center" vertical="top" wrapText="1"/>
    </xf>
    <xf numFmtId="0" fontId="4" fillId="40" borderId="72" xfId="0" applyFont="1" applyFill="1" applyBorder="1" applyAlignment="1">
      <alignment horizontal="center" vertical="top" wrapText="1"/>
    </xf>
    <xf numFmtId="0" fontId="14" fillId="40" borderId="45" xfId="0" applyFont="1" applyFill="1" applyBorder="1" applyAlignment="1">
      <alignment horizontal="center" vertical="top" wrapText="1"/>
    </xf>
    <xf numFmtId="0" fontId="0" fillId="0" borderId="19" xfId="0" applyBorder="1" applyAlignment="1">
      <alignment horizontal="center"/>
    </xf>
    <xf numFmtId="0" fontId="0" fillId="0" borderId="33" xfId="0" applyBorder="1" applyAlignment="1">
      <alignment horizontal="center"/>
    </xf>
    <xf numFmtId="3" fontId="0" fillId="0" borderId="41" xfId="0" applyNumberFormat="1" applyBorder="1" applyAlignment="1">
      <alignment horizontal="center"/>
    </xf>
    <xf numFmtId="0" fontId="4" fillId="40" borderId="50" xfId="0" applyFont="1" applyFill="1" applyBorder="1" applyAlignment="1">
      <alignment horizontal="center" vertical="top" wrapText="1"/>
    </xf>
    <xf numFmtId="0" fontId="4" fillId="40" borderId="49" xfId="0" applyFont="1" applyFill="1" applyBorder="1" applyAlignment="1">
      <alignment horizontal="center" vertical="top" wrapText="1"/>
    </xf>
    <xf numFmtId="0" fontId="4" fillId="40" borderId="33" xfId="0" applyFont="1" applyFill="1" applyBorder="1" applyAlignment="1">
      <alignment horizontal="center" vertical="top" wrapText="1"/>
    </xf>
    <xf numFmtId="0" fontId="4" fillId="40" borderId="41" xfId="0" applyFont="1" applyFill="1" applyBorder="1" applyAlignment="1">
      <alignment horizontal="center" vertical="top" wrapText="1"/>
    </xf>
    <xf numFmtId="0" fontId="33" fillId="0" borderId="0" xfId="0" applyFont="1" applyFill="1" applyBorder="1" applyAlignment="1">
      <alignment/>
    </xf>
    <xf numFmtId="0" fontId="33" fillId="0" borderId="0" xfId="0" applyFont="1" applyAlignment="1" quotePrefix="1">
      <alignment/>
    </xf>
    <xf numFmtId="0" fontId="10" fillId="0" borderId="15" xfId="0" applyFont="1" applyFill="1" applyBorder="1" applyAlignment="1">
      <alignment horizontal="center" wrapText="1"/>
    </xf>
    <xf numFmtId="0" fontId="59" fillId="0" borderId="15" xfId="0" applyFont="1" applyFill="1" applyBorder="1" applyAlignment="1">
      <alignment horizontal="center" wrapText="1"/>
    </xf>
    <xf numFmtId="173" fontId="0" fillId="0" borderId="50" xfId="0" applyNumberFormat="1" applyBorder="1" applyAlignment="1">
      <alignment horizontal="center"/>
    </xf>
    <xf numFmtId="173" fontId="0" fillId="0" borderId="19" xfId="0" applyNumberFormat="1" applyBorder="1" applyAlignment="1">
      <alignment horizontal="center"/>
    </xf>
    <xf numFmtId="173" fontId="0" fillId="0" borderId="33" xfId="0" applyNumberFormat="1" applyBorder="1" applyAlignment="1">
      <alignment horizontal="center"/>
    </xf>
    <xf numFmtId="3" fontId="4" fillId="0" borderId="43" xfId="0" applyNumberFormat="1" applyFont="1" applyBorder="1" applyAlignment="1">
      <alignment horizontal="center"/>
    </xf>
    <xf numFmtId="3" fontId="4" fillId="0" borderId="0" xfId="0" applyNumberFormat="1" applyFont="1" applyBorder="1" applyAlignment="1">
      <alignment horizontal="center"/>
    </xf>
    <xf numFmtId="0" fontId="14" fillId="40" borderId="82" xfId="0" applyFont="1" applyFill="1" applyBorder="1" applyAlignment="1">
      <alignment horizontal="center" vertical="top" wrapText="1"/>
    </xf>
    <xf numFmtId="169" fontId="10" fillId="0" borderId="0" xfId="48" applyNumberFormat="1" applyFont="1" applyBorder="1" applyAlignment="1">
      <alignment/>
    </xf>
    <xf numFmtId="169" fontId="40" fillId="0" borderId="43" xfId="48" applyNumberFormat="1" applyFont="1" applyBorder="1" applyAlignment="1">
      <alignment/>
    </xf>
    <xf numFmtId="169" fontId="40" fillId="0" borderId="0" xfId="48" applyNumberFormat="1" applyFont="1" applyBorder="1" applyAlignment="1">
      <alignment/>
    </xf>
    <xf numFmtId="3" fontId="4" fillId="0" borderId="10" xfId="0" applyNumberFormat="1" applyFont="1" applyBorder="1" applyAlignment="1">
      <alignment horizontal="center"/>
    </xf>
    <xf numFmtId="173" fontId="12" fillId="40" borderId="73" xfId="0" applyNumberFormat="1" applyFont="1" applyFill="1" applyBorder="1" applyAlignment="1">
      <alignment horizontal="center"/>
    </xf>
    <xf numFmtId="173" fontId="12" fillId="40" borderId="74" xfId="0" applyNumberFormat="1" applyFont="1" applyFill="1" applyBorder="1" applyAlignment="1">
      <alignment/>
    </xf>
    <xf numFmtId="169" fontId="10" fillId="0" borderId="63" xfId="48" applyNumberFormat="1" applyFont="1" applyBorder="1" applyAlignment="1">
      <alignment vertical="center"/>
    </xf>
    <xf numFmtId="169" fontId="10" fillId="0" borderId="84" xfId="48" applyNumberFormat="1" applyFont="1" applyBorder="1" applyAlignment="1">
      <alignment vertical="center"/>
    </xf>
    <xf numFmtId="169" fontId="10" fillId="0" borderId="15" xfId="48" applyNumberFormat="1" applyFont="1" applyBorder="1" applyAlignment="1">
      <alignment horizontal="center" vertical="center"/>
    </xf>
    <xf numFmtId="169" fontId="10" fillId="0" borderId="36" xfId="0" applyNumberFormat="1" applyFont="1" applyBorder="1" applyAlignment="1">
      <alignment/>
    </xf>
    <xf numFmtId="169" fontId="10" fillId="0" borderId="79" xfId="0" applyNumberFormat="1" applyFont="1" applyBorder="1" applyAlignment="1">
      <alignment/>
    </xf>
    <xf numFmtId="169" fontId="10" fillId="0" borderId="78" xfId="0" applyNumberFormat="1" applyFont="1" applyBorder="1" applyAlignment="1">
      <alignment/>
    </xf>
    <xf numFmtId="169" fontId="12" fillId="0" borderId="80" xfId="48" applyNumberFormat="1" applyFont="1" applyBorder="1" applyAlignment="1">
      <alignment vertical="center"/>
    </xf>
    <xf numFmtId="3" fontId="20" fillId="0" borderId="0" xfId="0" applyNumberFormat="1" applyFont="1" applyBorder="1" applyAlignment="1">
      <alignment horizontal="center"/>
    </xf>
    <xf numFmtId="169" fontId="7" fillId="0" borderId="42" xfId="48" applyNumberFormat="1" applyFont="1" applyBorder="1" applyAlignment="1">
      <alignment/>
    </xf>
    <xf numFmtId="3" fontId="20" fillId="0" borderId="10" xfId="0" applyNumberFormat="1" applyFont="1" applyBorder="1" applyAlignment="1">
      <alignment horizontal="center"/>
    </xf>
    <xf numFmtId="169" fontId="7" fillId="0" borderId="45" xfId="48" applyNumberFormat="1" applyFont="1" applyBorder="1" applyAlignment="1">
      <alignment/>
    </xf>
    <xf numFmtId="10" fontId="0" fillId="0" borderId="85" xfId="0" applyNumberFormat="1" applyBorder="1" applyAlignment="1">
      <alignment horizontal="center"/>
    </xf>
    <xf numFmtId="10" fontId="0" fillId="0" borderId="18" xfId="0" applyNumberFormat="1" applyBorder="1" applyAlignment="1">
      <alignment horizontal="center"/>
    </xf>
    <xf numFmtId="10" fontId="0" fillId="0" borderId="25" xfId="0" applyNumberFormat="1" applyBorder="1" applyAlignment="1">
      <alignment horizontal="center"/>
    </xf>
    <xf numFmtId="169" fontId="0" fillId="0" borderId="0" xfId="48" applyNumberFormat="1" applyFont="1" applyBorder="1" applyAlignment="1">
      <alignment horizontal="center"/>
    </xf>
    <xf numFmtId="0" fontId="13" fillId="40" borderId="73" xfId="0" applyFont="1" applyFill="1" applyBorder="1" applyAlignment="1">
      <alignment vertical="center"/>
    </xf>
    <xf numFmtId="0" fontId="13" fillId="40" borderId="82" xfId="0" applyFont="1" applyFill="1" applyBorder="1" applyAlignment="1">
      <alignment vertical="center"/>
    </xf>
    <xf numFmtId="3" fontId="0" fillId="0" borderId="82" xfId="0" applyNumberFormat="1" applyBorder="1" applyAlignment="1">
      <alignment/>
    </xf>
    <xf numFmtId="10" fontId="4" fillId="0" borderId="25" xfId="48" applyNumberFormat="1" applyFont="1" applyBorder="1" applyAlignment="1">
      <alignment/>
    </xf>
    <xf numFmtId="10" fontId="4" fillId="0" borderId="26" xfId="48" applyNumberFormat="1" applyFont="1" applyBorder="1" applyAlignment="1">
      <alignment/>
    </xf>
    <xf numFmtId="10" fontId="4" fillId="0" borderId="27" xfId="48" applyNumberFormat="1" applyFont="1" applyBorder="1" applyAlignment="1">
      <alignment/>
    </xf>
    <xf numFmtId="10" fontId="4" fillId="0" borderId="71" xfId="48" applyNumberFormat="1" applyFont="1" applyBorder="1" applyAlignment="1">
      <alignment/>
    </xf>
    <xf numFmtId="10" fontId="0" fillId="0" borderId="33" xfId="0" applyNumberFormat="1" applyBorder="1" applyAlignment="1">
      <alignment vertical="center"/>
    </xf>
    <xf numFmtId="10" fontId="0" fillId="0" borderId="50" xfId="0" applyNumberFormat="1" applyBorder="1" applyAlignment="1">
      <alignment vertical="center"/>
    </xf>
    <xf numFmtId="10" fontId="4" fillId="0" borderId="8" xfId="0" applyNumberFormat="1" applyFont="1" applyBorder="1" applyAlignment="1">
      <alignment vertical="center"/>
    </xf>
    <xf numFmtId="0" fontId="0" fillId="0" borderId="57" xfId="0" applyBorder="1" applyAlignment="1">
      <alignment/>
    </xf>
    <xf numFmtId="166" fontId="0" fillId="0" borderId="31" xfId="58" applyFont="1" applyFill="1" applyBorder="1">
      <alignment horizontal="left"/>
      <protection/>
    </xf>
    <xf numFmtId="0" fontId="0" fillId="0" borderId="0" xfId="0" applyFont="1" applyBorder="1" applyAlignment="1">
      <alignment/>
    </xf>
    <xf numFmtId="10" fontId="0" fillId="0" borderId="0" xfId="0" applyNumberFormat="1" applyFont="1" applyBorder="1" applyAlignment="1">
      <alignment/>
    </xf>
    <xf numFmtId="10" fontId="0" fillId="0" borderId="41" xfId="0" applyNumberFormat="1" applyFont="1" applyBorder="1" applyAlignment="1">
      <alignment/>
    </xf>
    <xf numFmtId="10" fontId="0" fillId="0" borderId="13" xfId="0" applyNumberFormat="1" applyFont="1" applyBorder="1" applyAlignment="1">
      <alignment/>
    </xf>
    <xf numFmtId="10" fontId="0" fillId="0" borderId="32" xfId="0" applyNumberFormat="1" applyFont="1" applyBorder="1" applyAlignment="1">
      <alignment/>
    </xf>
    <xf numFmtId="10" fontId="0" fillId="0" borderId="69" xfId="0" applyNumberFormat="1" applyFont="1" applyBorder="1" applyAlignment="1">
      <alignment/>
    </xf>
    <xf numFmtId="199" fontId="5" fillId="0" borderId="0" xfId="56" applyNumberFormat="1" applyFont="1" applyFill="1" applyBorder="1">
      <alignment/>
      <protection locked="0"/>
    </xf>
    <xf numFmtId="199" fontId="4" fillId="0" borderId="0" xfId="0" applyNumberFormat="1" applyFont="1" applyFill="1" applyBorder="1" applyAlignment="1">
      <alignment horizontal="center"/>
    </xf>
    <xf numFmtId="169" fontId="4" fillId="0" borderId="0" xfId="48" applyNumberFormat="1" applyFont="1" applyFill="1" applyBorder="1" applyAlignment="1">
      <alignment horizontal="center"/>
    </xf>
    <xf numFmtId="169" fontId="0" fillId="0" borderId="60" xfId="0" applyNumberFormat="1" applyFill="1" applyBorder="1" applyAlignment="1">
      <alignment/>
    </xf>
    <xf numFmtId="169" fontId="0" fillId="0" borderId="62" xfId="0" applyNumberFormat="1" applyFill="1" applyBorder="1" applyAlignment="1">
      <alignment/>
    </xf>
    <xf numFmtId="169" fontId="0" fillId="0" borderId="61" xfId="0" applyNumberFormat="1" applyFill="1" applyBorder="1" applyAlignment="1">
      <alignment/>
    </xf>
    <xf numFmtId="169" fontId="0" fillId="0" borderId="83" xfId="0" applyNumberFormat="1" applyBorder="1" applyAlignment="1">
      <alignment/>
    </xf>
    <xf numFmtId="198" fontId="4" fillId="0" borderId="0" xfId="0" applyNumberFormat="1" applyFont="1" applyFill="1" applyBorder="1" applyAlignment="1">
      <alignment horizontal="center"/>
    </xf>
    <xf numFmtId="0" fontId="0" fillId="0" borderId="66" xfId="0" applyFill="1" applyBorder="1" applyAlignment="1">
      <alignment/>
    </xf>
    <xf numFmtId="164" fontId="4" fillId="40" borderId="21" xfId="0" applyNumberFormat="1" applyFont="1" applyFill="1" applyBorder="1" applyAlignment="1">
      <alignment vertical="top"/>
    </xf>
    <xf numFmtId="164" fontId="4" fillId="40" borderId="22" xfId="0" applyNumberFormat="1" applyFont="1" applyFill="1" applyBorder="1" applyAlignment="1">
      <alignment vertical="top"/>
    </xf>
    <xf numFmtId="164" fontId="4" fillId="40" borderId="23" xfId="0" applyNumberFormat="1" applyFont="1" applyFill="1" applyBorder="1" applyAlignment="1">
      <alignment vertical="top"/>
    </xf>
    <xf numFmtId="164" fontId="4" fillId="40" borderId="24" xfId="0" applyNumberFormat="1" applyFont="1" applyFill="1" applyBorder="1" applyAlignment="1">
      <alignment vertical="top"/>
    </xf>
    <xf numFmtId="0" fontId="4" fillId="40" borderId="21" xfId="0" applyFont="1" applyFill="1" applyBorder="1" applyAlignment="1">
      <alignment horizontal="center" wrapText="1"/>
    </xf>
    <xf numFmtId="169" fontId="50" fillId="0" borderId="14" xfId="48" applyNumberFormat="1" applyFont="1" applyBorder="1" applyAlignment="1">
      <alignment/>
    </xf>
    <xf numFmtId="0" fontId="50" fillId="0" borderId="48" xfId="0" applyFont="1" applyBorder="1" applyAlignment="1">
      <alignment/>
    </xf>
    <xf numFmtId="3" fontId="45" fillId="0" borderId="39" xfId="0" applyNumberFormat="1" applyFont="1" applyBorder="1" applyAlignment="1">
      <alignment/>
    </xf>
    <xf numFmtId="0" fontId="0" fillId="0" borderId="58" xfId="0" applyFont="1" applyFill="1" applyBorder="1" applyAlignment="1">
      <alignment/>
    </xf>
    <xf numFmtId="3" fontId="0" fillId="0" borderId="58" xfId="0" applyNumberFormat="1" applyFont="1" applyFill="1" applyBorder="1" applyAlignment="1">
      <alignment/>
    </xf>
    <xf numFmtId="3" fontId="0" fillId="0" borderId="49" xfId="0" applyNumberFormat="1" applyFont="1" applyBorder="1" applyAlignment="1">
      <alignment/>
    </xf>
    <xf numFmtId="3" fontId="0" fillId="0" borderId="50" xfId="0" applyNumberFormat="1" applyFont="1" applyBorder="1" applyAlignment="1">
      <alignment/>
    </xf>
    <xf numFmtId="3" fontId="0" fillId="0" borderId="54" xfId="0" applyNumberFormat="1" applyFont="1" applyBorder="1" applyAlignment="1">
      <alignment/>
    </xf>
    <xf numFmtId="3" fontId="0" fillId="0" borderId="64" xfId="0" applyNumberFormat="1" applyFont="1" applyBorder="1" applyAlignment="1">
      <alignment/>
    </xf>
    <xf numFmtId="3" fontId="0" fillId="0" borderId="60" xfId="0" applyNumberFormat="1" applyFont="1" applyBorder="1" applyAlignment="1">
      <alignment/>
    </xf>
    <xf numFmtId="3" fontId="0" fillId="0" borderId="21" xfId="0" applyNumberFormat="1" applyFont="1" applyBorder="1" applyAlignment="1">
      <alignment/>
    </xf>
    <xf numFmtId="185" fontId="0" fillId="0" borderId="0" xfId="0" applyNumberFormat="1" applyFill="1" applyBorder="1" applyAlignment="1">
      <alignment/>
    </xf>
    <xf numFmtId="2" fontId="0" fillId="0" borderId="0" xfId="0" applyNumberFormat="1" applyFill="1" applyBorder="1" applyAlignment="1">
      <alignment/>
    </xf>
    <xf numFmtId="0" fontId="10" fillId="0" borderId="0" xfId="0" applyFont="1" applyFill="1" applyBorder="1" applyAlignment="1">
      <alignment/>
    </xf>
    <xf numFmtId="9" fontId="10" fillId="0" borderId="0" xfId="0" applyNumberFormat="1" applyFont="1" applyFill="1" applyBorder="1" applyAlignment="1">
      <alignment/>
    </xf>
    <xf numFmtId="0" fontId="4" fillId="0" borderId="17" xfId="0" applyFont="1" applyFill="1" applyBorder="1" applyAlignment="1">
      <alignment/>
    </xf>
    <xf numFmtId="3" fontId="0" fillId="0" borderId="121" xfId="0" applyNumberFormat="1" applyBorder="1" applyAlignment="1">
      <alignment/>
    </xf>
    <xf numFmtId="10" fontId="4" fillId="0" borderId="86" xfId="48" applyNumberFormat="1" applyFont="1" applyBorder="1" applyAlignment="1">
      <alignment/>
    </xf>
    <xf numFmtId="10" fontId="33" fillId="0" borderId="0" xfId="0" applyNumberFormat="1" applyFont="1" applyBorder="1" applyAlignment="1">
      <alignment/>
    </xf>
    <xf numFmtId="10" fontId="4" fillId="0" borderId="10" xfId="48" applyNumberFormat="1" applyFont="1" applyBorder="1" applyAlignment="1">
      <alignment/>
    </xf>
    <xf numFmtId="0" fontId="4" fillId="0" borderId="31" xfId="0" applyFont="1" applyFill="1" applyBorder="1" applyAlignment="1">
      <alignment/>
    </xf>
    <xf numFmtId="10" fontId="4" fillId="0" borderId="41" xfId="48" applyNumberFormat="1" applyFont="1" applyBorder="1" applyAlignment="1">
      <alignment/>
    </xf>
    <xf numFmtId="10" fontId="4" fillId="0" borderId="33" xfId="48" applyNumberFormat="1" applyFont="1" applyBorder="1" applyAlignment="1">
      <alignment/>
    </xf>
    <xf numFmtId="10" fontId="4" fillId="0" borderId="62" xfId="48" applyNumberFormat="1" applyFont="1" applyBorder="1" applyAlignment="1">
      <alignment/>
    </xf>
    <xf numFmtId="10" fontId="4" fillId="0" borderId="32" xfId="48" applyNumberFormat="1" applyFont="1" applyBorder="1" applyAlignment="1">
      <alignment/>
    </xf>
    <xf numFmtId="10" fontId="4" fillId="0" borderId="34" xfId="48" applyNumberFormat="1" applyFont="1" applyBorder="1" applyAlignment="1">
      <alignment/>
    </xf>
    <xf numFmtId="3" fontId="0" fillId="0" borderId="36" xfId="0" applyNumberFormat="1" applyBorder="1" applyAlignment="1">
      <alignment/>
    </xf>
    <xf numFmtId="3" fontId="0" fillId="0" borderId="38" xfId="0" applyNumberForma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38" xfId="0" applyNumberFormat="1" applyFont="1" applyBorder="1" applyAlignment="1">
      <alignment/>
    </xf>
    <xf numFmtId="3" fontId="0" fillId="0" borderId="64" xfId="0" applyNumberFormat="1" applyBorder="1" applyAlignment="1">
      <alignment/>
    </xf>
    <xf numFmtId="3" fontId="0" fillId="0" borderId="54" xfId="0" applyNumberFormat="1" applyBorder="1" applyAlignment="1">
      <alignment/>
    </xf>
    <xf numFmtId="2" fontId="0" fillId="0" borderId="18" xfId="0" applyNumberFormat="1" applyBorder="1" applyAlignment="1">
      <alignment/>
    </xf>
    <xf numFmtId="2" fontId="0" fillId="0" borderId="20" xfId="0" applyNumberFormat="1" applyBorder="1" applyAlignment="1">
      <alignment/>
    </xf>
    <xf numFmtId="0" fontId="4" fillId="0" borderId="67" xfId="0" applyFont="1" applyBorder="1" applyAlignment="1">
      <alignment/>
    </xf>
    <xf numFmtId="3" fontId="4" fillId="0" borderId="85" xfId="0" applyNumberFormat="1" applyFont="1" applyBorder="1" applyAlignment="1">
      <alignment/>
    </xf>
    <xf numFmtId="3" fontId="4" fillId="0" borderId="68" xfId="0" applyNumberFormat="1" applyFont="1" applyBorder="1" applyAlignment="1">
      <alignment/>
    </xf>
    <xf numFmtId="3" fontId="4" fillId="0" borderId="89" xfId="0" applyNumberFormat="1" applyFont="1" applyBorder="1" applyAlignment="1">
      <alignment/>
    </xf>
    <xf numFmtId="0" fontId="33" fillId="0" borderId="21" xfId="0" applyFont="1" applyBorder="1" applyAlignment="1">
      <alignment/>
    </xf>
    <xf numFmtId="3" fontId="33" fillId="0" borderId="22" xfId="0" applyNumberFormat="1" applyFont="1" applyBorder="1" applyAlignment="1">
      <alignment/>
    </xf>
    <xf numFmtId="3" fontId="33" fillId="0" borderId="23" xfId="0" applyNumberFormat="1" applyFont="1" applyBorder="1" applyAlignment="1">
      <alignment/>
    </xf>
    <xf numFmtId="3" fontId="33" fillId="0" borderId="24" xfId="0" applyNumberFormat="1" applyFont="1" applyBorder="1" applyAlignment="1">
      <alignment/>
    </xf>
    <xf numFmtId="0" fontId="42" fillId="0" borderId="0" xfId="0" applyFont="1" applyFill="1" applyBorder="1" applyAlignment="1">
      <alignment vertical="center"/>
    </xf>
    <xf numFmtId="3" fontId="0" fillId="0" borderId="49" xfId="0" applyNumberFormat="1" applyBorder="1" applyAlignment="1">
      <alignment/>
    </xf>
    <xf numFmtId="3" fontId="0" fillId="0" borderId="60" xfId="0" applyNumberFormat="1" applyBorder="1" applyAlignment="1">
      <alignment/>
    </xf>
    <xf numFmtId="0" fontId="41" fillId="40" borderId="22" xfId="0" applyFont="1" applyFill="1" applyBorder="1" applyAlignment="1">
      <alignment horizontal="center" wrapText="1"/>
    </xf>
    <xf numFmtId="0" fontId="4" fillId="0" borderId="67" xfId="0" applyFont="1" applyFill="1" applyBorder="1" applyAlignment="1">
      <alignment/>
    </xf>
    <xf numFmtId="3" fontId="4" fillId="0" borderId="70" xfId="0" applyNumberFormat="1" applyFont="1" applyBorder="1" applyAlignment="1">
      <alignment/>
    </xf>
    <xf numFmtId="3" fontId="4" fillId="0" borderId="121" xfId="0" applyNumberFormat="1" applyFont="1" applyBorder="1" applyAlignment="1">
      <alignment/>
    </xf>
    <xf numFmtId="0" fontId="4" fillId="0" borderId="17" xfId="0" applyFont="1" applyFill="1" applyBorder="1" applyAlignment="1">
      <alignment/>
    </xf>
    <xf numFmtId="10" fontId="4" fillId="0" borderId="25" xfId="48" applyNumberFormat="1" applyFont="1" applyBorder="1" applyAlignment="1">
      <alignment horizontal="center"/>
    </xf>
    <xf numFmtId="2" fontId="0" fillId="0" borderId="18" xfId="0" applyNumberFormat="1" applyBorder="1" applyAlignment="1">
      <alignment horizontal="center"/>
    </xf>
    <xf numFmtId="0" fontId="4" fillId="0" borderId="28" xfId="0" applyFont="1" applyFill="1" applyBorder="1" applyAlignment="1">
      <alignment/>
    </xf>
    <xf numFmtId="3" fontId="4" fillId="0" borderId="63"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169" fontId="0" fillId="0" borderId="89" xfId="48" applyNumberFormat="1" applyFont="1" applyBorder="1" applyAlignment="1">
      <alignment/>
    </xf>
    <xf numFmtId="169" fontId="0" fillId="0" borderId="27" xfId="48" applyNumberFormat="1" applyFont="1" applyBorder="1" applyAlignment="1">
      <alignment/>
    </xf>
    <xf numFmtId="0" fontId="0" fillId="0" borderId="25" xfId="0" applyBorder="1" applyAlignment="1">
      <alignment horizontal="center"/>
    </xf>
    <xf numFmtId="0" fontId="10" fillId="0" borderId="48" xfId="0" applyFont="1" applyFill="1" applyBorder="1" applyAlignment="1">
      <alignment/>
    </xf>
    <xf numFmtId="167" fontId="17" fillId="0" borderId="18" xfId="56" applyFont="1" applyFill="1" applyBorder="1">
      <alignment/>
      <protection locked="0"/>
    </xf>
    <xf numFmtId="0" fontId="4" fillId="40" borderId="21" xfId="0" applyFont="1" applyFill="1" applyBorder="1" applyAlignment="1">
      <alignment vertical="center"/>
    </xf>
    <xf numFmtId="0" fontId="63" fillId="0" borderId="0" xfId="0" applyFont="1" applyAlignment="1">
      <alignment/>
    </xf>
    <xf numFmtId="0" fontId="41" fillId="40" borderId="74" xfId="0" applyFont="1" applyFill="1" applyBorder="1" applyAlignment="1">
      <alignment horizontal="center" wrapText="1"/>
    </xf>
    <xf numFmtId="169" fontId="0" fillId="0" borderId="45" xfId="48" applyNumberFormat="1" applyFont="1" applyBorder="1" applyAlignment="1">
      <alignment horizontal="center"/>
    </xf>
    <xf numFmtId="0" fontId="41" fillId="40" borderId="23" xfId="0" applyFont="1" applyFill="1" applyBorder="1" applyAlignment="1">
      <alignment horizontal="center" wrapText="1"/>
    </xf>
    <xf numFmtId="169" fontId="0" fillId="0" borderId="26" xfId="48" applyNumberFormat="1" applyFont="1" applyBorder="1" applyAlignment="1">
      <alignment horizontal="center"/>
    </xf>
    <xf numFmtId="3" fontId="49" fillId="0" borderId="0" xfId="0" applyNumberFormat="1" applyFont="1" applyFill="1" applyBorder="1" applyAlignment="1">
      <alignment/>
    </xf>
    <xf numFmtId="174" fontId="45" fillId="0" borderId="40" xfId="0" applyNumberFormat="1" applyFont="1" applyBorder="1" applyAlignment="1">
      <alignment/>
    </xf>
    <xf numFmtId="0" fontId="52" fillId="0" borderId="0" xfId="0" applyFont="1" applyAlignment="1">
      <alignment/>
    </xf>
    <xf numFmtId="10" fontId="52" fillId="0" borderId="0" xfId="0" applyNumberFormat="1" applyFont="1" applyAlignment="1">
      <alignment/>
    </xf>
    <xf numFmtId="0" fontId="4" fillId="40" borderId="8" xfId="0" applyFont="1" applyFill="1" applyBorder="1" applyAlignment="1">
      <alignment horizontal="center" vertical="top" wrapText="1"/>
    </xf>
    <xf numFmtId="0" fontId="0" fillId="0" borderId="16" xfId="0" applyFont="1" applyFill="1" applyBorder="1" applyAlignment="1">
      <alignment/>
    </xf>
    <xf numFmtId="3" fontId="0" fillId="0" borderId="16" xfId="0" applyNumberFormat="1" applyFont="1" applyFill="1" applyBorder="1" applyAlignment="1">
      <alignment/>
    </xf>
    <xf numFmtId="3" fontId="0" fillId="0" borderId="40" xfId="0" applyNumberFormat="1" applyFont="1" applyBorder="1" applyAlignment="1">
      <alignment/>
    </xf>
    <xf numFmtId="3" fontId="0" fillId="0" borderId="19" xfId="0" applyNumberFormat="1" applyFont="1" applyBorder="1" applyAlignment="1">
      <alignment/>
    </xf>
    <xf numFmtId="3" fontId="0" fillId="0" borderId="0" xfId="0" applyNumberFormat="1" applyFont="1" applyBorder="1" applyAlignment="1">
      <alignment/>
    </xf>
    <xf numFmtId="3" fontId="0" fillId="0" borderId="20" xfId="0" applyNumberFormat="1" applyFont="1" applyBorder="1" applyAlignment="1">
      <alignment/>
    </xf>
    <xf numFmtId="3" fontId="49" fillId="0" borderId="64" xfId="0" applyNumberFormat="1" applyFont="1" applyFill="1" applyBorder="1" applyAlignment="1">
      <alignment/>
    </xf>
    <xf numFmtId="3" fontId="49" fillId="0" borderId="50" xfId="0" applyNumberFormat="1" applyFont="1" applyFill="1" applyBorder="1" applyAlignment="1">
      <alignment/>
    </xf>
    <xf numFmtId="3" fontId="49" fillId="0" borderId="54" xfId="0" applyNumberFormat="1" applyFont="1" applyFill="1" applyBorder="1" applyAlignment="1">
      <alignment/>
    </xf>
    <xf numFmtId="3" fontId="0" fillId="0" borderId="17" xfId="0" applyNumberFormat="1" applyFont="1" applyBorder="1" applyAlignment="1">
      <alignment/>
    </xf>
    <xf numFmtId="3" fontId="20" fillId="0" borderId="8" xfId="0" applyNumberFormat="1" applyFont="1" applyBorder="1" applyAlignment="1">
      <alignment vertical="center"/>
    </xf>
    <xf numFmtId="0" fontId="4" fillId="40" borderId="8" xfId="0" applyFont="1" applyFill="1" applyBorder="1" applyAlignment="1">
      <alignment horizontal="center" vertical="top"/>
    </xf>
    <xf numFmtId="2" fontId="0" fillId="0" borderId="50" xfId="0" applyNumberFormat="1" applyBorder="1" applyAlignment="1">
      <alignment/>
    </xf>
    <xf numFmtId="0" fontId="69" fillId="0" borderId="0" xfId="0" applyFont="1" applyBorder="1" applyAlignment="1">
      <alignment horizontal="left"/>
    </xf>
    <xf numFmtId="169" fontId="52" fillId="0" borderId="40" xfId="0" applyNumberFormat="1" applyFont="1" applyBorder="1" applyAlignment="1">
      <alignment horizontal="right" vertical="center" wrapText="1"/>
    </xf>
    <xf numFmtId="169" fontId="52" fillId="0" borderId="41" xfId="0" applyNumberFormat="1" applyFont="1" applyBorder="1" applyAlignment="1">
      <alignment horizontal="right" vertical="center" wrapText="1"/>
    </xf>
    <xf numFmtId="9" fontId="0" fillId="0" borderId="8" xfId="0" applyNumberFormat="1" applyFill="1" applyBorder="1" applyAlignment="1">
      <alignment/>
    </xf>
    <xf numFmtId="169" fontId="0" fillId="0" borderId="49" xfId="0" applyNumberFormat="1" applyFill="1" applyBorder="1" applyAlignment="1">
      <alignment/>
    </xf>
    <xf numFmtId="9" fontId="10" fillId="0" borderId="0" xfId="0" applyNumberFormat="1" applyFont="1" applyBorder="1" applyAlignment="1">
      <alignment/>
    </xf>
    <xf numFmtId="174" fontId="4" fillId="0" borderId="22" xfId="0" applyNumberFormat="1" applyFont="1" applyBorder="1" applyAlignment="1">
      <alignment/>
    </xf>
    <xf numFmtId="174" fontId="4" fillId="0" borderId="23" xfId="0" applyNumberFormat="1" applyFont="1" applyBorder="1" applyAlignment="1">
      <alignment/>
    </xf>
    <xf numFmtId="174" fontId="4" fillId="0" borderId="24" xfId="0" applyNumberFormat="1" applyFont="1" applyBorder="1" applyAlignment="1">
      <alignment/>
    </xf>
    <xf numFmtId="2" fontId="0" fillId="0" borderId="0" xfId="0" applyNumberFormat="1" applyAlignment="1">
      <alignment/>
    </xf>
    <xf numFmtId="3" fontId="0" fillId="0" borderId="0" xfId="0" applyNumberFormat="1" applyAlignment="1">
      <alignment horizontal="right"/>
    </xf>
    <xf numFmtId="0" fontId="0" fillId="0" borderId="14" xfId="0" applyBorder="1" applyAlignment="1">
      <alignment vertical="center"/>
    </xf>
    <xf numFmtId="173" fontId="4" fillId="0" borderId="8" xfId="0" applyNumberFormat="1" applyFont="1" applyBorder="1" applyAlignment="1">
      <alignment vertical="center"/>
    </xf>
    <xf numFmtId="172" fontId="0" fillId="0" borderId="60" xfId="0" applyNumberFormat="1" applyBorder="1" applyAlignment="1">
      <alignment/>
    </xf>
    <xf numFmtId="169" fontId="0" fillId="0" borderId="0" xfId="0" applyNumberFormat="1" applyFill="1" applyAlignment="1">
      <alignment/>
    </xf>
    <xf numFmtId="3" fontId="0" fillId="0" borderId="0" xfId="0" applyNumberFormat="1" applyFill="1" applyAlignment="1">
      <alignment/>
    </xf>
    <xf numFmtId="10" fontId="0" fillId="0" borderId="0" xfId="0" applyNumberFormat="1" applyFill="1" applyAlignment="1">
      <alignment/>
    </xf>
    <xf numFmtId="10" fontId="0" fillId="0" borderId="0" xfId="48" applyNumberFormat="1" applyFont="1" applyFill="1" applyAlignment="1">
      <alignment/>
    </xf>
    <xf numFmtId="9" fontId="0" fillId="0" borderId="0" xfId="0" applyNumberFormat="1" applyFill="1" applyAlignment="1">
      <alignment/>
    </xf>
    <xf numFmtId="3" fontId="10" fillId="0" borderId="0" xfId="0" applyNumberFormat="1" applyFont="1" applyFill="1" applyBorder="1" applyAlignment="1">
      <alignment/>
    </xf>
    <xf numFmtId="3" fontId="4" fillId="0" borderId="0" xfId="0" applyNumberFormat="1" applyFont="1" applyFill="1" applyAlignment="1">
      <alignment/>
    </xf>
    <xf numFmtId="3" fontId="20" fillId="0" borderId="0" xfId="0" applyNumberFormat="1" applyFont="1" applyFill="1" applyAlignment="1">
      <alignment/>
    </xf>
    <xf numFmtId="0" fontId="4" fillId="0" borderId="0" xfId="0" applyFont="1" applyFill="1" applyAlignment="1">
      <alignment/>
    </xf>
    <xf numFmtId="0" fontId="0" fillId="0" borderId="0" xfId="0" applyFill="1" applyAlignment="1">
      <alignment horizontal="center"/>
    </xf>
    <xf numFmtId="3" fontId="0" fillId="0" borderId="13" xfId="0" applyNumberFormat="1" applyFill="1" applyBorder="1" applyAlignment="1">
      <alignment/>
    </xf>
    <xf numFmtId="9" fontId="0" fillId="0" borderId="50" xfId="48" applyFont="1" applyFill="1" applyBorder="1" applyAlignment="1">
      <alignment vertical="center"/>
    </xf>
    <xf numFmtId="2" fontId="10" fillId="0" borderId="48" xfId="0" applyNumberFormat="1" applyFont="1" applyBorder="1" applyAlignment="1">
      <alignment/>
    </xf>
    <xf numFmtId="0" fontId="0" fillId="0" borderId="60" xfId="0" applyFont="1" applyBorder="1" applyAlignment="1">
      <alignment/>
    </xf>
    <xf numFmtId="0" fontId="0" fillId="0" borderId="8" xfId="0" applyBorder="1" applyAlignment="1">
      <alignment horizontal="left" vertical="center" wrapText="1"/>
    </xf>
    <xf numFmtId="0" fontId="0" fillId="0" borderId="8" xfId="0" applyBorder="1" applyAlignment="1">
      <alignment horizontal="left" vertical="center"/>
    </xf>
    <xf numFmtId="0" fontId="4" fillId="40" borderId="48" xfId="0" applyFont="1" applyFill="1" applyBorder="1" applyAlignment="1">
      <alignment horizontal="center" vertical="center"/>
    </xf>
    <xf numFmtId="0" fontId="4" fillId="40" borderId="39" xfId="0" applyFont="1" applyFill="1" applyBorder="1" applyAlignment="1">
      <alignment horizontal="center" vertical="center"/>
    </xf>
    <xf numFmtId="49" fontId="0" fillId="0" borderId="8" xfId="0" applyNumberFormat="1" applyBorder="1" applyAlignment="1">
      <alignment horizontal="center" vertical="center"/>
    </xf>
    <xf numFmtId="49" fontId="0" fillId="0" borderId="50"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33" xfId="0" applyNumberFormat="1" applyBorder="1" applyAlignment="1">
      <alignment horizontal="center" vertical="center" wrapText="1"/>
    </xf>
    <xf numFmtId="0" fontId="34" fillId="0" borderId="0" xfId="0" applyFont="1" applyAlignment="1">
      <alignment horizontal="center" vertical="center"/>
    </xf>
    <xf numFmtId="169" fontId="10" fillId="0" borderId="51" xfId="48" applyNumberFormat="1" applyFont="1" applyBorder="1" applyAlignment="1">
      <alignment horizontal="center" vertical="center"/>
    </xf>
    <xf numFmtId="169" fontId="10" fillId="0" borderId="57" xfId="48" applyNumberFormat="1" applyFont="1" applyBorder="1" applyAlignment="1">
      <alignment horizontal="center" vertical="center"/>
    </xf>
    <xf numFmtId="0" fontId="13" fillId="40" borderId="73" xfId="0" applyFont="1" applyFill="1" applyBorder="1" applyAlignment="1">
      <alignment horizontal="center" vertical="center"/>
    </xf>
    <xf numFmtId="0" fontId="13" fillId="40" borderId="82" xfId="0" applyFont="1" applyFill="1" applyBorder="1" applyAlignment="1">
      <alignment horizontal="center" vertical="center"/>
    </xf>
    <xf numFmtId="0" fontId="13" fillId="40" borderId="74" xfId="0" applyFont="1" applyFill="1" applyBorder="1" applyAlignment="1">
      <alignment horizontal="center" vertical="center"/>
    </xf>
    <xf numFmtId="169" fontId="11" fillId="0" borderId="79" xfId="48" applyNumberFormat="1" applyFont="1" applyBorder="1" applyAlignment="1">
      <alignment horizontal="center" vertical="center"/>
    </xf>
    <xf numFmtId="169" fontId="11" fillId="0" borderId="80" xfId="48" applyNumberFormat="1" applyFont="1" applyBorder="1" applyAlignment="1">
      <alignment horizontal="center" vertical="center"/>
    </xf>
    <xf numFmtId="0" fontId="15" fillId="0" borderId="0" xfId="36" applyAlignment="1" applyProtection="1">
      <alignment horizontal="right" vertical="top"/>
      <protection/>
    </xf>
    <xf numFmtId="169" fontId="9" fillId="0" borderId="59" xfId="48" applyNumberFormat="1" applyFont="1" applyBorder="1" applyAlignment="1">
      <alignment horizontal="center"/>
    </xf>
    <xf numFmtId="169" fontId="9" fillId="0" borderId="84" xfId="48" applyNumberFormat="1" applyFont="1" applyBorder="1" applyAlignment="1">
      <alignment horizontal="center"/>
    </xf>
    <xf numFmtId="169" fontId="9" fillId="0" borderId="51" xfId="48" applyNumberFormat="1" applyFont="1" applyBorder="1" applyAlignment="1">
      <alignment horizontal="center"/>
    </xf>
    <xf numFmtId="169" fontId="9" fillId="0" borderId="80" xfId="48" applyNumberFormat="1" applyFont="1" applyBorder="1" applyAlignment="1">
      <alignment horizontal="center"/>
    </xf>
    <xf numFmtId="169" fontId="10" fillId="0" borderId="59" xfId="48" applyNumberFormat="1" applyFont="1" applyBorder="1" applyAlignment="1">
      <alignment horizontal="center" vertical="center"/>
    </xf>
    <xf numFmtId="169" fontId="10" fillId="0" borderId="56" xfId="48" applyNumberFormat="1" applyFont="1" applyBorder="1" applyAlignment="1">
      <alignment horizontal="center" vertical="center"/>
    </xf>
    <xf numFmtId="169" fontId="10" fillId="0" borderId="86" xfId="48" applyNumberFormat="1" applyFont="1" applyBorder="1" applyAlignment="1">
      <alignment horizontal="center" vertical="center"/>
    </xf>
    <xf numFmtId="169" fontId="10" fillId="0" borderId="71" xfId="48" applyNumberFormat="1" applyFont="1" applyBorder="1" applyAlignment="1">
      <alignment horizontal="center" vertical="center"/>
    </xf>
    <xf numFmtId="169" fontId="10" fillId="0" borderId="78" xfId="48" applyNumberFormat="1" applyFont="1" applyBorder="1" applyAlignment="1">
      <alignment horizontal="center" vertical="center"/>
    </xf>
    <xf numFmtId="169" fontId="10" fillId="0" borderId="57" xfId="48" applyNumberFormat="1" applyFont="1" applyBorder="1" applyAlignment="1">
      <alignment horizontal="center" vertical="center"/>
    </xf>
    <xf numFmtId="169" fontId="10" fillId="0" borderId="47" xfId="48" applyNumberFormat="1" applyFont="1" applyBorder="1" applyAlignment="1">
      <alignment horizontal="center" vertical="center"/>
    </xf>
    <xf numFmtId="169" fontId="12" fillId="0" borderId="47" xfId="48" applyNumberFormat="1" applyFont="1" applyBorder="1" applyAlignment="1">
      <alignment horizontal="center" vertical="center"/>
    </xf>
    <xf numFmtId="169" fontId="12" fillId="0" borderId="84" xfId="48" applyNumberFormat="1" applyFont="1" applyBorder="1" applyAlignment="1">
      <alignment horizontal="center" vertical="center"/>
    </xf>
    <xf numFmtId="0" fontId="15" fillId="0" borderId="0" xfId="36" applyAlignment="1" applyProtection="1">
      <alignment horizontal="center" vertical="top"/>
      <protection/>
    </xf>
    <xf numFmtId="0" fontId="62" fillId="0" borderId="122" xfId="0" applyFont="1" applyBorder="1" applyAlignment="1">
      <alignment horizontal="center" vertical="center" textRotation="90" wrapText="1"/>
    </xf>
    <xf numFmtId="0" fontId="62" fillId="0" borderId="123" xfId="0" applyFont="1" applyBorder="1" applyAlignment="1">
      <alignment horizontal="center" vertical="center" textRotation="90" wrapText="1"/>
    </xf>
    <xf numFmtId="0" fontId="62" fillId="0" borderId="124" xfId="0" applyFont="1" applyBorder="1" applyAlignment="1">
      <alignment horizontal="center" vertical="center" textRotation="90" wrapText="1"/>
    </xf>
    <xf numFmtId="0" fontId="62" fillId="0" borderId="91" xfId="0" applyFont="1" applyBorder="1" applyAlignment="1">
      <alignment horizontal="left" vertical="top" wrapText="1"/>
    </xf>
    <xf numFmtId="0" fontId="62" fillId="0" borderId="92" xfId="0" applyFont="1" applyBorder="1" applyAlignment="1">
      <alignment horizontal="left" vertical="top" wrapText="1"/>
    </xf>
    <xf numFmtId="0" fontId="62" fillId="0" borderId="94" xfId="0" applyFont="1" applyBorder="1" applyAlignment="1">
      <alignment horizontal="left" vertical="top" wrapText="1"/>
    </xf>
    <xf numFmtId="0" fontId="62" fillId="0" borderId="122" xfId="0" applyFont="1" applyBorder="1" applyAlignment="1">
      <alignment horizontal="center" vertical="top" wrapText="1"/>
    </xf>
    <xf numFmtId="0" fontId="62" fillId="0" borderId="123" xfId="0" applyFont="1" applyBorder="1" applyAlignment="1">
      <alignment horizontal="center" vertical="top" wrapText="1"/>
    </xf>
    <xf numFmtId="0" fontId="62" fillId="0" borderId="124" xfId="0" applyFont="1" applyBorder="1" applyAlignment="1">
      <alignment horizontal="center" vertical="top" wrapText="1"/>
    </xf>
    <xf numFmtId="0" fontId="62" fillId="0" borderId="91" xfId="0" applyFont="1" applyBorder="1" applyAlignment="1">
      <alignment horizontal="center" vertical="top" wrapText="1"/>
    </xf>
    <xf numFmtId="0" fontId="62" fillId="0" borderId="92" xfId="0" applyFont="1" applyBorder="1" applyAlignment="1">
      <alignment horizontal="center" vertical="top" wrapText="1"/>
    </xf>
    <xf numFmtId="0" fontId="62" fillId="0" borderId="94" xfId="0" applyFont="1" applyBorder="1" applyAlignment="1">
      <alignment horizontal="center" vertical="top" wrapText="1"/>
    </xf>
    <xf numFmtId="0" fontId="62" fillId="0" borderId="125" xfId="0" applyFont="1" applyBorder="1" applyAlignment="1">
      <alignment horizontal="left" vertical="top" wrapText="1"/>
    </xf>
    <xf numFmtId="0" fontId="62" fillId="0" borderId="93" xfId="0" applyFont="1" applyBorder="1" applyAlignment="1">
      <alignment horizontal="left" vertical="top" wrapText="1"/>
    </xf>
    <xf numFmtId="0" fontId="62" fillId="0" borderId="90" xfId="0" applyFont="1" applyBorder="1" applyAlignment="1">
      <alignment horizontal="left" vertical="top" wrapText="1"/>
    </xf>
    <xf numFmtId="0" fontId="62" fillId="0" borderId="126" xfId="0" applyFont="1" applyBorder="1" applyAlignment="1">
      <alignment horizontal="left" vertical="top" wrapText="1"/>
    </xf>
    <xf numFmtId="0" fontId="62" fillId="0" borderId="0" xfId="0" applyFont="1" applyBorder="1" applyAlignment="1">
      <alignment horizontal="left" vertical="top" wrapText="1"/>
    </xf>
    <xf numFmtId="0" fontId="62" fillId="0" borderId="95" xfId="0" applyFont="1" applyBorder="1" applyAlignment="1">
      <alignment horizontal="left" vertical="top" wrapText="1"/>
    </xf>
    <xf numFmtId="0" fontId="62" fillId="0" borderId="112" xfId="0" applyFont="1" applyBorder="1" applyAlignment="1">
      <alignment horizontal="left" vertical="top" wrapText="1"/>
    </xf>
    <xf numFmtId="0" fontId="62" fillId="0" borderId="127" xfId="0" applyFont="1" applyBorder="1" applyAlignment="1">
      <alignment horizontal="left" vertical="top" wrapText="1"/>
    </xf>
    <xf numFmtId="0" fontId="62" fillId="0" borderId="100" xfId="0" applyFont="1" applyBorder="1" applyAlignment="1">
      <alignment horizontal="left" vertical="top" wrapText="1"/>
    </xf>
    <xf numFmtId="0" fontId="41" fillId="40" borderId="82" xfId="0" applyFont="1" applyFill="1" applyBorder="1" applyAlignment="1">
      <alignment horizontal="center" vertical="top" wrapText="1"/>
    </xf>
    <xf numFmtId="0" fontId="41" fillId="40" borderId="74" xfId="0" applyFont="1" applyFill="1" applyBorder="1" applyAlignment="1">
      <alignment horizontal="center" vertical="top" wrapText="1"/>
    </xf>
    <xf numFmtId="169" fontId="0" fillId="0" borderId="39" xfId="0" applyNumberFormat="1" applyBorder="1" applyAlignment="1">
      <alignment horizontal="center"/>
    </xf>
    <xf numFmtId="0" fontId="0" fillId="0" borderId="8" xfId="0" applyBorder="1" applyAlignment="1">
      <alignment horizontal="center"/>
    </xf>
    <xf numFmtId="0" fontId="4" fillId="40" borderId="8" xfId="0" applyFont="1" applyFill="1" applyBorder="1" applyAlignment="1">
      <alignment horizontal="center" vertical="top" wrapText="1"/>
    </xf>
    <xf numFmtId="0" fontId="4" fillId="40" borderId="39" xfId="0" applyFont="1" applyFill="1" applyBorder="1" applyAlignment="1">
      <alignment horizontal="center" vertical="top" wrapText="1"/>
    </xf>
    <xf numFmtId="169" fontId="0" fillId="0" borderId="8" xfId="0" applyNumberFormat="1" applyBorder="1" applyAlignment="1">
      <alignment horizontal="center"/>
    </xf>
    <xf numFmtId="169" fontId="49" fillId="0" borderId="86" xfId="0" applyNumberFormat="1" applyFont="1" applyBorder="1" applyAlignment="1">
      <alignment horizontal="center"/>
    </xf>
    <xf numFmtId="169" fontId="49" fillId="0" borderId="10" xfId="0" applyNumberFormat="1" applyFont="1" applyBorder="1" applyAlignment="1">
      <alignment horizontal="center"/>
    </xf>
    <xf numFmtId="169" fontId="49" fillId="0" borderId="45" xfId="0" applyNumberFormat="1" applyFont="1" applyBorder="1" applyAlignment="1">
      <alignment horizontal="center"/>
    </xf>
    <xf numFmtId="169" fontId="4" fillId="0" borderId="8" xfId="0" applyNumberFormat="1" applyFont="1" applyBorder="1" applyAlignment="1">
      <alignment horizontal="center"/>
    </xf>
    <xf numFmtId="0" fontId="4" fillId="0" borderId="8" xfId="0" applyFont="1" applyBorder="1" applyAlignment="1">
      <alignment horizontal="center"/>
    </xf>
    <xf numFmtId="169" fontId="0" fillId="0" borderId="48" xfId="0" applyNumberFormat="1" applyBorder="1" applyAlignment="1">
      <alignment horizontal="center"/>
    </xf>
    <xf numFmtId="169" fontId="0" fillId="0" borderId="14" xfId="0" applyNumberFormat="1" applyBorder="1" applyAlignment="1">
      <alignment horizontal="center"/>
    </xf>
    <xf numFmtId="169" fontId="0" fillId="0" borderId="76" xfId="0" applyNumberFormat="1" applyBorder="1" applyAlignment="1">
      <alignment horizontal="center"/>
    </xf>
    <xf numFmtId="169" fontId="0" fillId="0" borderId="78" xfId="0" applyNumberFormat="1" applyBorder="1" applyAlignment="1">
      <alignment horizontal="center"/>
    </xf>
    <xf numFmtId="169" fontId="0" fillId="0" borderId="79" xfId="0" applyNumberFormat="1" applyBorder="1" applyAlignment="1">
      <alignment horizontal="center"/>
    </xf>
    <xf numFmtId="169" fontId="0" fillId="0" borderId="80" xfId="0" applyNumberFormat="1" applyBorder="1" applyAlignment="1">
      <alignment horizontal="center"/>
    </xf>
    <xf numFmtId="169" fontId="49" fillId="0" borderId="48" xfId="0" applyNumberFormat="1" applyFont="1" applyBorder="1" applyAlignment="1">
      <alignment horizontal="center"/>
    </xf>
    <xf numFmtId="169" fontId="49" fillId="0" borderId="14" xfId="0" applyNumberFormat="1" applyFont="1" applyBorder="1" applyAlignment="1">
      <alignment horizontal="center"/>
    </xf>
    <xf numFmtId="169" fontId="49" fillId="0" borderId="76" xfId="0" applyNumberFormat="1" applyFont="1" applyBorder="1" applyAlignment="1">
      <alignment horizontal="center"/>
    </xf>
    <xf numFmtId="169" fontId="0" fillId="0" borderId="86" xfId="0" applyNumberFormat="1" applyBorder="1" applyAlignment="1">
      <alignment horizontal="center"/>
    </xf>
    <xf numFmtId="169" fontId="0" fillId="0" borderId="10" xfId="0" applyNumberFormat="1" applyBorder="1" applyAlignment="1">
      <alignment horizontal="center"/>
    </xf>
    <xf numFmtId="169" fontId="0" fillId="0" borderId="45" xfId="0" applyNumberFormat="1" applyBorder="1" applyAlignment="1">
      <alignment horizontal="center"/>
    </xf>
    <xf numFmtId="169" fontId="0" fillId="0" borderId="51" xfId="0" applyNumberFormat="1" applyBorder="1" applyAlignment="1">
      <alignment horizontal="center"/>
    </xf>
    <xf numFmtId="169" fontId="0" fillId="0" borderId="86" xfId="0" applyNumberFormat="1" applyFont="1" applyBorder="1" applyAlignment="1">
      <alignment horizontal="center"/>
    </xf>
    <xf numFmtId="169" fontId="0" fillId="0" borderId="10" xfId="0" applyNumberFormat="1" applyFont="1" applyBorder="1" applyAlignment="1">
      <alignment horizontal="center"/>
    </xf>
    <xf numFmtId="169" fontId="0" fillId="0" borderId="45" xfId="0" applyNumberFormat="1" applyFont="1" applyBorder="1" applyAlignment="1">
      <alignment horizontal="center"/>
    </xf>
    <xf numFmtId="169" fontId="0" fillId="0" borderId="75" xfId="0" applyNumberFormat="1" applyBorder="1" applyAlignment="1">
      <alignment horizontal="center"/>
    </xf>
    <xf numFmtId="169" fontId="0" fillId="0" borderId="72" xfId="0" applyNumberFormat="1" applyBorder="1" applyAlignment="1">
      <alignment horizontal="center"/>
    </xf>
    <xf numFmtId="169" fontId="4" fillId="0" borderId="39" xfId="0" applyNumberFormat="1" applyFont="1" applyBorder="1" applyAlignment="1">
      <alignment horizontal="center"/>
    </xf>
    <xf numFmtId="169" fontId="50" fillId="0" borderId="78" xfId="0" applyNumberFormat="1" applyFont="1" applyBorder="1" applyAlignment="1">
      <alignment horizontal="center"/>
    </xf>
    <xf numFmtId="169" fontId="50" fillId="0" borderId="79" xfId="0" applyNumberFormat="1" applyFont="1" applyBorder="1" applyAlignment="1">
      <alignment horizontal="center"/>
    </xf>
    <xf numFmtId="169" fontId="50" fillId="0" borderId="80" xfId="0" applyNumberFormat="1" applyFont="1" applyBorder="1" applyAlignment="1">
      <alignment horizontal="center"/>
    </xf>
    <xf numFmtId="169" fontId="50" fillId="0" borderId="73" xfId="48" applyNumberFormat="1" applyFont="1" applyBorder="1" applyAlignment="1">
      <alignment horizontal="center"/>
    </xf>
    <xf numFmtId="169" fontId="50" fillId="0" borderId="82" xfId="48" applyNumberFormat="1" applyFont="1" applyBorder="1" applyAlignment="1">
      <alignment horizontal="center"/>
    </xf>
    <xf numFmtId="169" fontId="50" fillId="0" borderId="74" xfId="48" applyNumberFormat="1" applyFont="1" applyBorder="1" applyAlignment="1">
      <alignment horizontal="center"/>
    </xf>
    <xf numFmtId="0" fontId="4" fillId="40" borderId="8" xfId="0" applyFont="1" applyFill="1" applyBorder="1" applyAlignment="1">
      <alignment horizontal="center"/>
    </xf>
    <xf numFmtId="0" fontId="4" fillId="40" borderId="50" xfId="0" applyFont="1" applyFill="1" applyBorder="1" applyAlignment="1">
      <alignment horizontal="center" vertical="top"/>
    </xf>
    <xf numFmtId="0" fontId="4" fillId="40" borderId="33" xfId="0" applyFont="1" applyFill="1" applyBorder="1" applyAlignment="1">
      <alignment horizontal="center" vertical="top"/>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STCisRadku1" xfId="52"/>
    <cellStyle name="STCisRadku2" xfId="53"/>
    <cellStyle name="STCisRadku3" xfId="54"/>
    <cellStyle name="STCisRadku4" xfId="55"/>
    <cellStyle name="STEdit" xfId="56"/>
    <cellStyle name="STNazRadku1" xfId="57"/>
    <cellStyle name="STNazRadku2" xfId="58"/>
    <cellStyle name="STNonEdit" xfId="59"/>
    <cellStyle name="STNonEdit2" xfId="60"/>
    <cellStyle name="STNormální" xfId="61"/>
    <cellStyle name="STPopis1" xfId="62"/>
    <cellStyle name="STPopis2b"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Závislost trhu na čase</a:t>
            </a:r>
          </a:p>
        </c:rich>
      </c:tx>
      <c:layout>
        <c:manualLayout>
          <c:xMode val="factor"/>
          <c:yMode val="factor"/>
          <c:x val="-0.131"/>
          <c:y val="0.0075"/>
        </c:manualLayout>
      </c:layout>
      <c:spPr>
        <a:noFill/>
        <a:ln>
          <a:noFill/>
        </a:ln>
      </c:spPr>
    </c:title>
    <c:plotArea>
      <c:layout>
        <c:manualLayout>
          <c:xMode val="edge"/>
          <c:yMode val="edge"/>
          <c:x val="0.08775"/>
          <c:y val="0.1655"/>
          <c:w val="0.888"/>
          <c:h val="0.797"/>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800" b="0" i="0" u="none" baseline="0">
                      <a:solidFill>
                        <a:srgbClr val="000000"/>
                      </a:solidFill>
                    </a:defRPr>
                  </a:pPr>
                </a:p>
              </c:txPr>
              <c:numFmt formatCode="0.000"/>
              <c:spPr>
                <a:solidFill>
                  <a:srgbClr val="FFFF99"/>
                </a:solidFill>
                <a:ln w="3175">
                  <a:noFill/>
                </a:ln>
              </c:spPr>
            </c:trendlineLbl>
          </c:trendline>
          <c:xVal>
            <c:numRef>
              <c:f>'1 Regrese - Čas lin'!$A$5:$A$16</c:f>
              <c:numCache/>
            </c:numRef>
          </c:xVal>
          <c:yVal>
            <c:numRef>
              <c:f>'1 Regrese - Čas lin'!$B$5:$B$16</c:f>
              <c:numCache/>
            </c:numRef>
          </c:yVal>
          <c:smooth val="0"/>
        </c:ser>
        <c:axId val="32304483"/>
        <c:axId val="22304892"/>
      </c:scatterChart>
      <c:valAx>
        <c:axId val="32304483"/>
        <c:scaling>
          <c:orientation val="minMax"/>
        </c:scaling>
        <c:axPos val="b"/>
        <c:delete val="0"/>
        <c:numFmt formatCode="General" sourceLinked="1"/>
        <c:majorTickMark val="out"/>
        <c:minorTickMark val="none"/>
        <c:tickLblPos val="nextTo"/>
        <c:spPr>
          <a:ln w="3175">
            <a:solidFill>
              <a:srgbClr val="000000"/>
            </a:solidFill>
          </a:ln>
        </c:spPr>
        <c:crossAx val="22304892"/>
        <c:crosses val="autoZero"/>
        <c:crossBetween val="midCat"/>
        <c:dispUnits/>
      </c:valAx>
      <c:valAx>
        <c:axId val="22304892"/>
        <c:scaling>
          <c:orientation val="minMax"/>
        </c:scaling>
        <c:axPos val="l"/>
        <c:title>
          <c:tx>
            <c:rich>
              <a:bodyPr vert="horz" rot="-5400000" anchor="ctr"/>
              <a:lstStyle/>
              <a:p>
                <a:pPr algn="ctr">
                  <a:defRPr/>
                </a:pPr>
                <a:r>
                  <a:rPr lang="en-US" cap="none" sz="800" b="1" i="0" u="none" baseline="0">
                    <a:solidFill>
                      <a:srgbClr val="000000"/>
                    </a:solidFill>
                  </a:rPr>
                  <a:t>Trh za ČR (mil. Kč)</a:t>
                </a:r>
              </a:p>
            </c:rich>
          </c:tx>
          <c:layout>
            <c:manualLayout>
              <c:xMode val="factor"/>
              <c:yMode val="factor"/>
              <c:x val="-0.003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0448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Závislost trhu na HDP</a:t>
            </a:r>
          </a:p>
        </c:rich>
      </c:tx>
      <c:layout>
        <c:manualLayout>
          <c:xMode val="factor"/>
          <c:yMode val="factor"/>
          <c:x val="-0.26675"/>
          <c:y val="-0.019"/>
        </c:manualLayout>
      </c:layout>
      <c:spPr>
        <a:noFill/>
        <a:ln>
          <a:noFill/>
        </a:ln>
      </c:spPr>
    </c:title>
    <c:plotArea>
      <c:layout>
        <c:manualLayout>
          <c:xMode val="edge"/>
          <c:yMode val="edge"/>
          <c:x val="0.11675"/>
          <c:y val="0.16675"/>
          <c:w val="0.8515"/>
          <c:h val="0.708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1"/>
            <c:dispRSqr val="1"/>
            <c:trendlineLbl>
              <c:layout>
                <c:manualLayout>
                  <c:x val="0"/>
                  <c:y val="0"/>
                </c:manualLayout>
              </c:layout>
              <c:txPr>
                <a:bodyPr vert="horz" rot="0" anchor="ctr"/>
                <a:lstStyle/>
                <a:p>
                  <a:pPr algn="ctr">
                    <a:defRPr lang="en-US" cap="none" sz="800" b="0" i="0" u="none" baseline="0">
                      <a:solidFill>
                        <a:srgbClr val="000000"/>
                      </a:solidFill>
                    </a:defRPr>
                  </a:pPr>
                </a:p>
              </c:txPr>
              <c:numFmt formatCode="0.00"/>
              <c:spPr>
                <a:solidFill>
                  <a:srgbClr val="FFFF99"/>
                </a:solidFill>
                <a:ln w="3175">
                  <a:noFill/>
                </a:ln>
              </c:spPr>
            </c:trendlineLbl>
          </c:trendline>
          <c:xVal>
            <c:numRef>
              <c:f>'2 Regrese - HDP log'!$C$5:$C$16</c:f>
              <c:numCache/>
            </c:numRef>
          </c:xVal>
          <c:yVal>
            <c:numRef>
              <c:f>'2 Regrese - HDP log'!$B$5:$B$16</c:f>
              <c:numCache/>
            </c:numRef>
          </c:yVal>
          <c:smooth val="0"/>
        </c:ser>
        <c:axId val="66526301"/>
        <c:axId val="61865798"/>
      </c:scatterChart>
      <c:valAx>
        <c:axId val="66526301"/>
        <c:scaling>
          <c:orientation val="minMax"/>
          <c:max val="3200000"/>
          <c:min val="1200000"/>
        </c:scaling>
        <c:axPos val="b"/>
        <c:title>
          <c:tx>
            <c:rich>
              <a:bodyPr vert="horz" rot="0" anchor="ctr"/>
              <a:lstStyle/>
              <a:p>
                <a:pPr algn="ctr">
                  <a:defRPr/>
                </a:pPr>
                <a:r>
                  <a:rPr lang="en-US" cap="none" sz="900" b="1" i="0" u="none" baseline="0">
                    <a:solidFill>
                      <a:srgbClr val="000000"/>
                    </a:solidFill>
                  </a:rPr>
                  <a:t>HDP b.c. (mil. Kč)</a:t>
                </a:r>
              </a:p>
            </c:rich>
          </c:tx>
          <c:layout>
            <c:manualLayout>
              <c:xMode val="factor"/>
              <c:yMode val="factor"/>
              <c:x val="0"/>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61865798"/>
        <c:crosses val="autoZero"/>
        <c:crossBetween val="midCat"/>
        <c:dispUnits/>
        <c:minorUnit val="240000"/>
      </c:valAx>
      <c:valAx>
        <c:axId val="61865798"/>
        <c:scaling>
          <c:orientation val="minMax"/>
        </c:scaling>
        <c:axPos val="l"/>
        <c:title>
          <c:tx>
            <c:rich>
              <a:bodyPr vert="horz" rot="-5400000" anchor="ctr"/>
              <a:lstStyle/>
              <a:p>
                <a:pPr algn="ctr">
                  <a:defRPr/>
                </a:pPr>
                <a:r>
                  <a:rPr lang="en-US" cap="none" sz="900" b="1" i="0" u="none" baseline="0">
                    <a:solidFill>
                      <a:srgbClr val="000000"/>
                    </a:solidFill>
                  </a:rPr>
                  <a:t>Trh (mil. Kč)     .</a:t>
                </a:r>
              </a:p>
            </c:rich>
          </c:tx>
          <c:layout>
            <c:manualLayout>
              <c:xMode val="factor"/>
              <c:yMode val="factor"/>
              <c:x val="-0.009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5263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Závislost trhu na HDP</a:t>
            </a:r>
          </a:p>
        </c:rich>
      </c:tx>
      <c:layout>
        <c:manualLayout>
          <c:xMode val="factor"/>
          <c:yMode val="factor"/>
          <c:x val="-0.29725"/>
          <c:y val="-0.019"/>
        </c:manualLayout>
      </c:layout>
      <c:spPr>
        <a:noFill/>
        <a:ln>
          <a:noFill/>
        </a:ln>
      </c:spPr>
    </c:title>
    <c:plotArea>
      <c:layout>
        <c:manualLayout>
          <c:xMode val="edge"/>
          <c:yMode val="edge"/>
          <c:x val="0.09975"/>
          <c:y val="0.1625"/>
          <c:w val="0.87325"/>
          <c:h val="0.71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defRPr>
                  </a:pPr>
                </a:p>
              </c:txPr>
              <c:numFmt formatCode="General"/>
              <c:spPr>
                <a:solidFill>
                  <a:srgbClr val="FFFF99"/>
                </a:solidFill>
                <a:ln w="3175">
                  <a:noFill/>
                </a:ln>
              </c:spPr>
            </c:trendlineLbl>
          </c:trendline>
          <c:xVal>
            <c:numRef>
              <c:f>'3 Regrese - HDP lin'!$C$5:$C$16</c:f>
              <c:numCache/>
            </c:numRef>
          </c:xVal>
          <c:yVal>
            <c:numRef>
              <c:f>'3 Regrese - HDP lin'!$B$5:$B$16</c:f>
              <c:numCache/>
            </c:numRef>
          </c:yVal>
          <c:smooth val="0"/>
        </c:ser>
        <c:axId val="19921271"/>
        <c:axId val="45073712"/>
      </c:scatterChart>
      <c:valAx>
        <c:axId val="19921271"/>
        <c:scaling>
          <c:orientation val="minMax"/>
          <c:max val="3200000"/>
          <c:min val="1200000"/>
        </c:scaling>
        <c:axPos val="b"/>
        <c:title>
          <c:tx>
            <c:rich>
              <a:bodyPr vert="horz" rot="0" anchor="ctr"/>
              <a:lstStyle/>
              <a:p>
                <a:pPr algn="ctr">
                  <a:defRPr/>
                </a:pPr>
                <a:r>
                  <a:rPr lang="en-US" cap="none" sz="900" b="1" i="0" u="none" baseline="0">
                    <a:solidFill>
                      <a:srgbClr val="000000"/>
                    </a:solidFill>
                  </a:rPr>
                  <a:t>HDP b.c. (mil. Kč)</a:t>
                </a:r>
              </a:p>
            </c:rich>
          </c:tx>
          <c:layout>
            <c:manualLayout>
              <c:xMode val="factor"/>
              <c:yMode val="factor"/>
              <c:x val="0"/>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5073712"/>
        <c:crosses val="autoZero"/>
        <c:crossBetween val="midCat"/>
        <c:dispUnits/>
        <c:minorUnit val="240000"/>
      </c:valAx>
      <c:valAx>
        <c:axId val="45073712"/>
        <c:scaling>
          <c:orientation val="minMax"/>
        </c:scaling>
        <c:axPos val="l"/>
        <c:title>
          <c:tx>
            <c:rich>
              <a:bodyPr vert="horz" rot="-5400000" anchor="ctr"/>
              <a:lstStyle/>
              <a:p>
                <a:pPr algn="ctr">
                  <a:defRPr/>
                </a:pPr>
                <a:r>
                  <a:rPr lang="en-US" cap="none" sz="900" b="1" i="0" u="none" baseline="0">
                    <a:solidFill>
                      <a:srgbClr val="000000"/>
                    </a:solidFill>
                  </a:rPr>
                  <a:t>Trh (mil. Kč)     .</a:t>
                </a:r>
              </a:p>
            </c:rich>
          </c:tx>
          <c:layout>
            <c:manualLayout>
              <c:xMode val="factor"/>
              <c:yMode val="factor"/>
              <c:x val="-0.008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92127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CE"/>
                <a:ea typeface="Arial CE"/>
                <a:cs typeface="Arial CE"/>
              </a:rPr>
              <a:t>Vývoj tržního podílu podniku UNIPO v čase</a:t>
            </a:r>
          </a:p>
        </c:rich>
      </c:tx>
      <c:layout>
        <c:manualLayout>
          <c:xMode val="factor"/>
          <c:yMode val="factor"/>
          <c:x val="-0.00675"/>
          <c:y val="0"/>
        </c:manualLayout>
      </c:layout>
      <c:spPr>
        <a:noFill/>
        <a:ln>
          <a:noFill/>
        </a:ln>
      </c:spPr>
    </c:title>
    <c:plotArea>
      <c:layout>
        <c:manualLayout>
          <c:xMode val="edge"/>
          <c:yMode val="edge"/>
          <c:x val="0.05375"/>
          <c:y val="0.14375"/>
          <c:w val="0.92925"/>
          <c:h val="0.756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'6 Tržby UNIPO'!$A$5:$A$19</c:f>
              <c:numCache/>
            </c:numRef>
          </c:cat>
          <c:val>
            <c:numRef>
              <c:f>'6 Tržby UNIPO'!$D$5:$D$19</c:f>
              <c:numCache/>
            </c:numRef>
          </c:val>
          <c:smooth val="1"/>
        </c:ser>
        <c:marker val="1"/>
        <c:axId val="3010225"/>
        <c:axId val="27092026"/>
      </c:lineChart>
      <c:catAx>
        <c:axId val="3010225"/>
        <c:scaling>
          <c:orientation val="minMax"/>
        </c:scaling>
        <c:axPos val="b"/>
        <c:title>
          <c:tx>
            <c:rich>
              <a:bodyPr vert="horz" rot="0" anchor="ctr"/>
              <a:lstStyle/>
              <a:p>
                <a:pPr algn="ctr">
                  <a:defRPr/>
                </a:pPr>
                <a:r>
                  <a:rPr lang="en-US" cap="none" sz="800" b="1" i="0" u="none" baseline="0">
                    <a:solidFill>
                      <a:srgbClr val="000000"/>
                    </a:solidFill>
                    <a:latin typeface="Arial CE"/>
                    <a:ea typeface="Arial CE"/>
                    <a:cs typeface="Arial CE"/>
                  </a:rPr>
                  <a:t>Roky</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092026"/>
        <c:crosses val="autoZero"/>
        <c:auto val="1"/>
        <c:lblOffset val="100"/>
        <c:tickLblSkip val="1"/>
        <c:noMultiLvlLbl val="0"/>
      </c:catAx>
      <c:valAx>
        <c:axId val="27092026"/>
        <c:scaling>
          <c:orientation val="minMax"/>
          <c:min val="0"/>
        </c:scaling>
        <c:axPos val="l"/>
        <c:title>
          <c:tx>
            <c:rich>
              <a:bodyPr vert="horz" rot="-5400000" anchor="ctr"/>
              <a:lstStyle/>
              <a:p>
                <a:pPr algn="ctr">
                  <a:defRPr/>
                </a:pPr>
                <a:r>
                  <a:rPr lang="en-US" cap="none" sz="800" b="1" i="0" u="none" baseline="0">
                    <a:solidFill>
                      <a:srgbClr val="000000"/>
                    </a:solidFill>
                    <a:latin typeface="Arial CE"/>
                    <a:ea typeface="Arial CE"/>
                    <a:cs typeface="Arial CE"/>
                  </a:rPr>
                  <a:t>Tržní podíl podniku</a:t>
                </a:r>
              </a:p>
            </c:rich>
          </c:tx>
          <c:layout>
            <c:manualLayout>
              <c:xMode val="factor"/>
              <c:yMode val="factor"/>
              <c:x val="-0.002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022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E"/>
          <a:ea typeface="Arial CE"/>
          <a:cs typeface="Arial CE"/>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9525</xdr:rowOff>
    </xdr:from>
    <xdr:to>
      <xdr:col>2</xdr:col>
      <xdr:colOff>0</xdr:colOff>
      <xdr:row>19</xdr:row>
      <xdr:rowOff>142875</xdr:rowOff>
    </xdr:to>
    <xdr:sp>
      <xdr:nvSpPr>
        <xdr:cNvPr id="1" name="AutoShape 1"/>
        <xdr:cNvSpPr>
          <a:spLocks/>
        </xdr:cNvSpPr>
      </xdr:nvSpPr>
      <xdr:spPr>
        <a:xfrm>
          <a:off x="2143125" y="3152775"/>
          <a:ext cx="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0</xdr:colOff>
      <xdr:row>28</xdr:row>
      <xdr:rowOff>28575</xdr:rowOff>
    </xdr:from>
    <xdr:to>
      <xdr:col>2</xdr:col>
      <xdr:colOff>0</xdr:colOff>
      <xdr:row>31</xdr:row>
      <xdr:rowOff>152400</xdr:rowOff>
    </xdr:to>
    <xdr:sp>
      <xdr:nvSpPr>
        <xdr:cNvPr id="2" name="AutoShape 2"/>
        <xdr:cNvSpPr>
          <a:spLocks/>
        </xdr:cNvSpPr>
      </xdr:nvSpPr>
      <xdr:spPr>
        <a:xfrm>
          <a:off x="2143125" y="5438775"/>
          <a:ext cx="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xdr:row>
      <xdr:rowOff>76200</xdr:rowOff>
    </xdr:from>
    <xdr:to>
      <xdr:col>7</xdr:col>
      <xdr:colOff>590550</xdr:colOff>
      <xdr:row>4</xdr:row>
      <xdr:rowOff>9525</xdr:rowOff>
    </xdr:to>
    <xdr:sp>
      <xdr:nvSpPr>
        <xdr:cNvPr id="1" name="Text Box 1"/>
        <xdr:cNvSpPr txBox="1">
          <a:spLocks noChangeArrowheads="1"/>
        </xdr:cNvSpPr>
      </xdr:nvSpPr>
      <xdr:spPr>
        <a:xfrm>
          <a:off x="4286250" y="304800"/>
          <a:ext cx="2571750" cy="533400"/>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993366"/>
              </a:solidFill>
              <a:latin typeface="Arial CE"/>
              <a:ea typeface="Arial CE"/>
              <a:cs typeface="Arial CE"/>
            </a:rPr>
            <a:t>Výsledná tržní hodnota </a:t>
          </a:r>
          <a:r>
            <a:rPr lang="en-US" cap="none" sz="1000" b="0" i="1" u="none" baseline="0">
              <a:solidFill>
                <a:srgbClr val="993366"/>
              </a:solidFill>
              <a:latin typeface="Arial CE"/>
              <a:ea typeface="Arial CE"/>
              <a:cs typeface="Arial CE"/>
            </a:rPr>
            <a:t>(ocenění současného výnosového potenciálu i budoucích růstových příležitostí)</a:t>
          </a:r>
        </a:p>
      </xdr:txBody>
    </xdr:sp>
    <xdr:clientData/>
  </xdr:twoCellAnchor>
  <xdr:twoCellAnchor>
    <xdr:from>
      <xdr:col>4</xdr:col>
      <xdr:colOff>552450</xdr:colOff>
      <xdr:row>4</xdr:row>
      <xdr:rowOff>95250</xdr:rowOff>
    </xdr:from>
    <xdr:to>
      <xdr:col>7</xdr:col>
      <xdr:colOff>609600</xdr:colOff>
      <xdr:row>6</xdr:row>
      <xdr:rowOff>161925</xdr:rowOff>
    </xdr:to>
    <xdr:sp>
      <xdr:nvSpPr>
        <xdr:cNvPr id="2" name="Text Box 2"/>
        <xdr:cNvSpPr txBox="1">
          <a:spLocks noChangeArrowheads="1"/>
        </xdr:cNvSpPr>
      </xdr:nvSpPr>
      <xdr:spPr>
        <a:xfrm>
          <a:off x="4286250" y="923925"/>
          <a:ext cx="2590800" cy="52387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993366"/>
              </a:solidFill>
              <a:latin typeface="Arial CE"/>
              <a:ea typeface="Arial CE"/>
              <a:cs typeface="Arial CE"/>
            </a:rPr>
            <a:t>Dolní mez výnosové hodnoty </a:t>
          </a:r>
          <a:r>
            <a:rPr lang="en-US" cap="none" sz="1000" b="0" i="1" u="none" baseline="0">
              <a:solidFill>
                <a:srgbClr val="993366"/>
              </a:solidFill>
              <a:latin typeface="Arial CE"/>
              <a:ea typeface="Arial CE"/>
              <a:cs typeface="Arial CE"/>
            </a:rPr>
            <a:t>(ocenění jen současného výnosového potenciálu)</a:t>
          </a:r>
        </a:p>
      </xdr:txBody>
    </xdr:sp>
    <xdr:clientData/>
  </xdr:twoCellAnchor>
  <xdr:twoCellAnchor>
    <xdr:from>
      <xdr:col>3</xdr:col>
      <xdr:colOff>571500</xdr:colOff>
      <xdr:row>2</xdr:row>
      <xdr:rowOff>161925</xdr:rowOff>
    </xdr:from>
    <xdr:to>
      <xdr:col>4</xdr:col>
      <xdr:colOff>552450</xdr:colOff>
      <xdr:row>2</xdr:row>
      <xdr:rowOff>190500</xdr:rowOff>
    </xdr:to>
    <xdr:sp>
      <xdr:nvSpPr>
        <xdr:cNvPr id="3" name="Line 3"/>
        <xdr:cNvSpPr>
          <a:spLocks/>
        </xdr:cNvSpPr>
      </xdr:nvSpPr>
      <xdr:spPr>
        <a:xfrm flipH="1" flipV="1">
          <a:off x="3552825" y="533400"/>
          <a:ext cx="7334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581025</xdr:colOff>
      <xdr:row>2</xdr:row>
      <xdr:rowOff>200025</xdr:rowOff>
    </xdr:from>
    <xdr:to>
      <xdr:col>4</xdr:col>
      <xdr:colOff>542925</xdr:colOff>
      <xdr:row>3</xdr:row>
      <xdr:rowOff>133350</xdr:rowOff>
    </xdr:to>
    <xdr:sp>
      <xdr:nvSpPr>
        <xdr:cNvPr id="4" name="Line 4"/>
        <xdr:cNvSpPr>
          <a:spLocks/>
        </xdr:cNvSpPr>
      </xdr:nvSpPr>
      <xdr:spPr>
        <a:xfrm flipH="1">
          <a:off x="3562350" y="571500"/>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533400</xdr:colOff>
      <xdr:row>4</xdr:row>
      <xdr:rowOff>171450</xdr:rowOff>
    </xdr:from>
    <xdr:to>
      <xdr:col>4</xdr:col>
      <xdr:colOff>552450</xdr:colOff>
      <xdr:row>5</xdr:row>
      <xdr:rowOff>123825</xdr:rowOff>
    </xdr:to>
    <xdr:sp>
      <xdr:nvSpPr>
        <xdr:cNvPr id="5" name="Line 5"/>
        <xdr:cNvSpPr>
          <a:spLocks/>
        </xdr:cNvSpPr>
      </xdr:nvSpPr>
      <xdr:spPr>
        <a:xfrm flipH="1" flipV="1">
          <a:off x="3514725" y="1000125"/>
          <a:ext cx="771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533400</xdr:colOff>
      <xdr:row>10</xdr:row>
      <xdr:rowOff>47625</xdr:rowOff>
    </xdr:from>
    <xdr:to>
      <xdr:col>7</xdr:col>
      <xdr:colOff>590550</xdr:colOff>
      <xdr:row>11</xdr:row>
      <xdr:rowOff>19050</xdr:rowOff>
    </xdr:to>
    <xdr:sp>
      <xdr:nvSpPr>
        <xdr:cNvPr id="6" name="Text Box 6"/>
        <xdr:cNvSpPr txBox="1">
          <a:spLocks noChangeArrowheads="1"/>
        </xdr:cNvSpPr>
      </xdr:nvSpPr>
      <xdr:spPr>
        <a:xfrm>
          <a:off x="4267200" y="2181225"/>
          <a:ext cx="2590800" cy="20002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993366"/>
              </a:solidFill>
              <a:latin typeface="Arial CE"/>
              <a:ea typeface="Arial CE"/>
              <a:cs typeface="Arial CE"/>
            </a:rPr>
            <a:t>Dolní mez výsledného ocenění</a:t>
          </a:r>
        </a:p>
      </xdr:txBody>
    </xdr:sp>
    <xdr:clientData/>
  </xdr:twoCellAnchor>
  <xdr:twoCellAnchor>
    <xdr:from>
      <xdr:col>3</xdr:col>
      <xdr:colOff>581025</xdr:colOff>
      <xdr:row>10</xdr:row>
      <xdr:rowOff>152400</xdr:rowOff>
    </xdr:from>
    <xdr:to>
      <xdr:col>4</xdr:col>
      <xdr:colOff>523875</xdr:colOff>
      <xdr:row>10</xdr:row>
      <xdr:rowOff>152400</xdr:rowOff>
    </xdr:to>
    <xdr:sp>
      <xdr:nvSpPr>
        <xdr:cNvPr id="7" name="Line 7"/>
        <xdr:cNvSpPr>
          <a:spLocks/>
        </xdr:cNvSpPr>
      </xdr:nvSpPr>
      <xdr:spPr>
        <a:xfrm flipH="1">
          <a:off x="3562350" y="228600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542925</xdr:colOff>
      <xdr:row>32</xdr:row>
      <xdr:rowOff>9525</xdr:rowOff>
    </xdr:from>
    <xdr:to>
      <xdr:col>7</xdr:col>
      <xdr:colOff>600075</xdr:colOff>
      <xdr:row>32</xdr:row>
      <xdr:rowOff>266700</xdr:rowOff>
    </xdr:to>
    <xdr:sp>
      <xdr:nvSpPr>
        <xdr:cNvPr id="8" name="Text Box 8"/>
        <xdr:cNvSpPr txBox="1">
          <a:spLocks noChangeArrowheads="1"/>
        </xdr:cNvSpPr>
      </xdr:nvSpPr>
      <xdr:spPr>
        <a:xfrm>
          <a:off x="4276725" y="6600825"/>
          <a:ext cx="2590800" cy="25717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993366"/>
              </a:solidFill>
              <a:latin typeface="Arial CE"/>
              <a:ea typeface="Arial CE"/>
              <a:cs typeface="Arial CE"/>
            </a:rPr>
            <a:t>Rozdíl mezi tržní a substanční hodnotou</a:t>
          </a:r>
        </a:p>
      </xdr:txBody>
    </xdr:sp>
    <xdr:clientData/>
  </xdr:twoCellAnchor>
  <xdr:twoCellAnchor>
    <xdr:from>
      <xdr:col>3</xdr:col>
      <xdr:colOff>590550</xdr:colOff>
      <xdr:row>32</xdr:row>
      <xdr:rowOff>142875</xdr:rowOff>
    </xdr:from>
    <xdr:to>
      <xdr:col>4</xdr:col>
      <xdr:colOff>533400</xdr:colOff>
      <xdr:row>32</xdr:row>
      <xdr:rowOff>142875</xdr:rowOff>
    </xdr:to>
    <xdr:sp>
      <xdr:nvSpPr>
        <xdr:cNvPr id="9" name="Line 9"/>
        <xdr:cNvSpPr>
          <a:spLocks/>
        </xdr:cNvSpPr>
      </xdr:nvSpPr>
      <xdr:spPr>
        <a:xfrm flipH="1">
          <a:off x="3571875" y="67341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590550</xdr:colOff>
      <xdr:row>30</xdr:row>
      <xdr:rowOff>142875</xdr:rowOff>
    </xdr:from>
    <xdr:to>
      <xdr:col>4</xdr:col>
      <xdr:colOff>533400</xdr:colOff>
      <xdr:row>30</xdr:row>
      <xdr:rowOff>142875</xdr:rowOff>
    </xdr:to>
    <xdr:sp>
      <xdr:nvSpPr>
        <xdr:cNvPr id="10" name="Line 11"/>
        <xdr:cNvSpPr>
          <a:spLocks/>
        </xdr:cNvSpPr>
      </xdr:nvSpPr>
      <xdr:spPr>
        <a:xfrm flipH="1">
          <a:off x="3571875" y="6181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4</xdr:col>
      <xdr:colOff>542925</xdr:colOff>
      <xdr:row>29</xdr:row>
      <xdr:rowOff>104775</xdr:rowOff>
    </xdr:from>
    <xdr:to>
      <xdr:col>7</xdr:col>
      <xdr:colOff>600075</xdr:colOff>
      <xdr:row>31</xdr:row>
      <xdr:rowOff>38100</xdr:rowOff>
    </xdr:to>
    <xdr:sp>
      <xdr:nvSpPr>
        <xdr:cNvPr id="11" name="Text Box 12"/>
        <xdr:cNvSpPr txBox="1">
          <a:spLocks noChangeArrowheads="1"/>
        </xdr:cNvSpPr>
      </xdr:nvSpPr>
      <xdr:spPr>
        <a:xfrm>
          <a:off x="4276725" y="5981700"/>
          <a:ext cx="2590800" cy="371475"/>
        </a:xfrm>
        <a:prstGeom prst="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993366"/>
              </a:solidFill>
              <a:latin typeface="Arial CE"/>
              <a:ea typeface="Arial CE"/>
              <a:cs typeface="Arial CE"/>
            </a:rPr>
            <a:t>Rozdíl mezi tržní hodnotou a hodnotou podle paušální metody KČV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2</xdr:row>
      <xdr:rowOff>0</xdr:rowOff>
    </xdr:from>
    <xdr:to>
      <xdr:col>8</xdr:col>
      <xdr:colOff>628650</xdr:colOff>
      <xdr:row>16</xdr:row>
      <xdr:rowOff>28575</xdr:rowOff>
    </xdr:to>
    <xdr:graphicFrame>
      <xdr:nvGraphicFramePr>
        <xdr:cNvPr id="1" name="Chart 2"/>
        <xdr:cNvGraphicFramePr/>
      </xdr:nvGraphicFramePr>
      <xdr:xfrm>
        <a:off x="3476625" y="533400"/>
        <a:ext cx="450532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0</xdr:rowOff>
    </xdr:from>
    <xdr:to>
      <xdr:col>9</xdr:col>
      <xdr:colOff>0</xdr:colOff>
      <xdr:row>16</xdr:row>
      <xdr:rowOff>9525</xdr:rowOff>
    </xdr:to>
    <xdr:graphicFrame>
      <xdr:nvGraphicFramePr>
        <xdr:cNvPr id="1" name="Chart 3"/>
        <xdr:cNvGraphicFramePr/>
      </xdr:nvGraphicFramePr>
      <xdr:xfrm>
        <a:off x="4638675" y="533400"/>
        <a:ext cx="3486150" cy="2600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0</xdr:rowOff>
    </xdr:from>
    <xdr:to>
      <xdr:col>9</xdr:col>
      <xdr:colOff>9525</xdr:colOff>
      <xdr:row>16</xdr:row>
      <xdr:rowOff>9525</xdr:rowOff>
    </xdr:to>
    <xdr:graphicFrame>
      <xdr:nvGraphicFramePr>
        <xdr:cNvPr id="1" name="Chart 1"/>
        <xdr:cNvGraphicFramePr/>
      </xdr:nvGraphicFramePr>
      <xdr:xfrm>
        <a:off x="3990975" y="533400"/>
        <a:ext cx="4057650" cy="260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25</xdr:row>
      <xdr:rowOff>57150</xdr:rowOff>
    </xdr:from>
    <xdr:to>
      <xdr:col>16</xdr:col>
      <xdr:colOff>400050</xdr:colOff>
      <xdr:row>28</xdr:row>
      <xdr:rowOff>66675</xdr:rowOff>
    </xdr:to>
    <xdr:sp>
      <xdr:nvSpPr>
        <xdr:cNvPr id="1" name="Text Box 5"/>
        <xdr:cNvSpPr txBox="1">
          <a:spLocks noChangeArrowheads="1"/>
        </xdr:cNvSpPr>
      </xdr:nvSpPr>
      <xdr:spPr>
        <a:xfrm>
          <a:off x="8943975" y="5067300"/>
          <a:ext cx="1114425" cy="4953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800000"/>
              </a:solidFill>
              <a:latin typeface="Arial CE"/>
              <a:ea typeface="Arial CE"/>
              <a:cs typeface="Arial CE"/>
            </a:rPr>
            <a:t>Zvolená funkce pro prognózu trhu</a:t>
          </a:r>
        </a:p>
      </xdr:txBody>
    </xdr:sp>
    <xdr:clientData/>
  </xdr:twoCellAnchor>
  <xdr:twoCellAnchor>
    <xdr:from>
      <xdr:col>15</xdr:col>
      <xdr:colOff>504825</xdr:colOff>
      <xdr:row>24</xdr:row>
      <xdr:rowOff>0</xdr:rowOff>
    </xdr:from>
    <xdr:to>
      <xdr:col>15</xdr:col>
      <xdr:colOff>504825</xdr:colOff>
      <xdr:row>25</xdr:row>
      <xdr:rowOff>57150</xdr:rowOff>
    </xdr:to>
    <xdr:sp>
      <xdr:nvSpPr>
        <xdr:cNvPr id="2" name="Line 6"/>
        <xdr:cNvSpPr>
          <a:spLocks/>
        </xdr:cNvSpPr>
      </xdr:nvSpPr>
      <xdr:spPr>
        <a:xfrm flipV="1">
          <a:off x="9496425" y="4848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85725</xdr:rowOff>
    </xdr:from>
    <xdr:to>
      <xdr:col>7</xdr:col>
      <xdr:colOff>838200</xdr:colOff>
      <xdr:row>38</xdr:row>
      <xdr:rowOff>142875</xdr:rowOff>
    </xdr:to>
    <xdr:graphicFrame>
      <xdr:nvGraphicFramePr>
        <xdr:cNvPr id="1" name="Chart 3"/>
        <xdr:cNvGraphicFramePr/>
      </xdr:nvGraphicFramePr>
      <xdr:xfrm>
        <a:off x="0" y="3467100"/>
        <a:ext cx="6534150" cy="3133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12</xdr:row>
      <xdr:rowOff>152400</xdr:rowOff>
    </xdr:from>
    <xdr:to>
      <xdr:col>4</xdr:col>
      <xdr:colOff>152400</xdr:colOff>
      <xdr:row>14</xdr:row>
      <xdr:rowOff>19050</xdr:rowOff>
    </xdr:to>
    <xdr:sp>
      <xdr:nvSpPr>
        <xdr:cNvPr id="1" name="Text Box 2"/>
        <xdr:cNvSpPr txBox="1">
          <a:spLocks noChangeArrowheads="1"/>
        </xdr:cNvSpPr>
      </xdr:nvSpPr>
      <xdr:spPr>
        <a:xfrm>
          <a:off x="5086350" y="2476500"/>
          <a:ext cx="1038225" cy="228600"/>
        </a:xfrm>
        <a:prstGeom prst="rect">
          <a:avLst/>
        </a:prstGeom>
        <a:solidFill>
          <a:srgbClr val="FFFFFF"/>
        </a:solidFill>
        <a:ln w="9525" cmpd="sng">
          <a:solidFill>
            <a:srgbClr val="008000"/>
          </a:solidFill>
          <a:headEnd type="none"/>
          <a:tailEnd type="none"/>
        </a:ln>
      </xdr:spPr>
      <xdr:txBody>
        <a:bodyPr vertOverflow="clip" wrap="square" lIns="27432" tIns="22860" rIns="27432" bIns="22860" anchor="ctr"/>
        <a:p>
          <a:pPr algn="ctr">
            <a:defRPr/>
          </a:pPr>
          <a:r>
            <a:rPr lang="en-US" cap="none" sz="1000" b="0" i="1" u="none" baseline="0">
              <a:solidFill>
                <a:srgbClr val="008000"/>
              </a:solidFill>
              <a:latin typeface="Arial CE"/>
              <a:ea typeface="Arial CE"/>
              <a:cs typeface="Arial CE"/>
            </a:rPr>
            <a:t>Dopočet</a:t>
          </a:r>
        </a:p>
      </xdr:txBody>
    </xdr:sp>
    <xdr:clientData/>
  </xdr:twoCellAnchor>
  <xdr:twoCellAnchor>
    <xdr:from>
      <xdr:col>7</xdr:col>
      <xdr:colOff>295275</xdr:colOff>
      <xdr:row>12</xdr:row>
      <xdr:rowOff>133350</xdr:rowOff>
    </xdr:from>
    <xdr:to>
      <xdr:col>8</xdr:col>
      <xdr:colOff>542925</xdr:colOff>
      <xdr:row>14</xdr:row>
      <xdr:rowOff>0</xdr:rowOff>
    </xdr:to>
    <xdr:sp>
      <xdr:nvSpPr>
        <xdr:cNvPr id="2" name="Text Box 3"/>
        <xdr:cNvSpPr txBox="1">
          <a:spLocks noChangeArrowheads="1"/>
        </xdr:cNvSpPr>
      </xdr:nvSpPr>
      <xdr:spPr>
        <a:xfrm>
          <a:off x="8639175" y="2457450"/>
          <a:ext cx="1038225" cy="228600"/>
        </a:xfrm>
        <a:prstGeom prst="rect">
          <a:avLst/>
        </a:prstGeom>
        <a:solidFill>
          <a:srgbClr val="FFFFFF"/>
        </a:solidFill>
        <a:ln w="9525" cmpd="sng">
          <a:solidFill>
            <a:srgbClr val="008000"/>
          </a:solidFill>
          <a:headEnd type="none"/>
          <a:tailEnd type="none"/>
        </a:ln>
      </xdr:spPr>
      <xdr:txBody>
        <a:bodyPr vertOverflow="clip" wrap="square" lIns="27432" tIns="22860" rIns="27432" bIns="22860" anchor="ctr"/>
        <a:p>
          <a:pPr algn="ctr">
            <a:defRPr/>
          </a:pPr>
          <a:r>
            <a:rPr lang="en-US" cap="none" sz="1000" b="0" i="1" u="none" baseline="0">
              <a:solidFill>
                <a:srgbClr val="008000"/>
              </a:solidFill>
              <a:latin typeface="Arial CE"/>
              <a:ea typeface="Arial CE"/>
              <a:cs typeface="Arial CE"/>
            </a:rPr>
            <a:t>Odhad</a:t>
          </a:r>
        </a:p>
      </xdr:txBody>
    </xdr:sp>
    <xdr:clientData/>
  </xdr:twoCellAnchor>
  <xdr:twoCellAnchor>
    <xdr:from>
      <xdr:col>1</xdr:col>
      <xdr:colOff>19050</xdr:colOff>
      <xdr:row>14</xdr:row>
      <xdr:rowOff>19050</xdr:rowOff>
    </xdr:from>
    <xdr:to>
      <xdr:col>5</xdr:col>
      <xdr:colOff>762000</xdr:colOff>
      <xdr:row>14</xdr:row>
      <xdr:rowOff>209550</xdr:rowOff>
    </xdr:to>
    <xdr:sp>
      <xdr:nvSpPr>
        <xdr:cNvPr id="3" name="AutoShape 4"/>
        <xdr:cNvSpPr>
          <a:spLocks/>
        </xdr:cNvSpPr>
      </xdr:nvSpPr>
      <xdr:spPr>
        <a:xfrm rot="5400000">
          <a:off x="3619500" y="2705100"/>
          <a:ext cx="3905250" cy="190500"/>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14</xdr:row>
      <xdr:rowOff>0</xdr:rowOff>
    </xdr:from>
    <xdr:to>
      <xdr:col>9</xdr:col>
      <xdr:colOff>771525</xdr:colOff>
      <xdr:row>14</xdr:row>
      <xdr:rowOff>219075</xdr:rowOff>
    </xdr:to>
    <xdr:sp>
      <xdr:nvSpPr>
        <xdr:cNvPr id="4" name="AutoShape 5"/>
        <xdr:cNvSpPr>
          <a:spLocks/>
        </xdr:cNvSpPr>
      </xdr:nvSpPr>
      <xdr:spPr>
        <a:xfrm rot="5400000">
          <a:off x="7562850" y="2686050"/>
          <a:ext cx="3133725" cy="219075"/>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676275</xdr:colOff>
      <xdr:row>46</xdr:row>
      <xdr:rowOff>76200</xdr:rowOff>
    </xdr:from>
    <xdr:to>
      <xdr:col>4</xdr:col>
      <xdr:colOff>133350</xdr:colOff>
      <xdr:row>47</xdr:row>
      <xdr:rowOff>104775</xdr:rowOff>
    </xdr:to>
    <xdr:sp>
      <xdr:nvSpPr>
        <xdr:cNvPr id="5" name="Text Box 6"/>
        <xdr:cNvSpPr txBox="1">
          <a:spLocks noChangeArrowheads="1"/>
        </xdr:cNvSpPr>
      </xdr:nvSpPr>
      <xdr:spPr>
        <a:xfrm>
          <a:off x="5067300" y="8429625"/>
          <a:ext cx="1038225" cy="228600"/>
        </a:xfrm>
        <a:prstGeom prst="rect">
          <a:avLst/>
        </a:prstGeom>
        <a:solidFill>
          <a:srgbClr val="FFFFFF"/>
        </a:solidFill>
        <a:ln w="9525" cmpd="sng">
          <a:solidFill>
            <a:srgbClr val="008000"/>
          </a:solidFill>
          <a:headEnd type="none"/>
          <a:tailEnd type="none"/>
        </a:ln>
      </xdr:spPr>
      <xdr:txBody>
        <a:bodyPr vertOverflow="clip" wrap="square" lIns="27432" tIns="22860" rIns="27432" bIns="22860" anchor="ctr"/>
        <a:p>
          <a:pPr algn="ctr">
            <a:defRPr/>
          </a:pPr>
          <a:r>
            <a:rPr lang="en-US" cap="none" sz="1000" b="0" i="1" u="none" baseline="0">
              <a:solidFill>
                <a:srgbClr val="008000"/>
              </a:solidFill>
              <a:latin typeface="Arial CE"/>
              <a:ea typeface="Arial CE"/>
              <a:cs typeface="Arial CE"/>
            </a:rPr>
            <a:t>Dopočet</a:t>
          </a:r>
        </a:p>
      </xdr:txBody>
    </xdr:sp>
    <xdr:clientData/>
  </xdr:twoCellAnchor>
  <xdr:twoCellAnchor>
    <xdr:from>
      <xdr:col>7</xdr:col>
      <xdr:colOff>266700</xdr:colOff>
      <xdr:row>46</xdr:row>
      <xdr:rowOff>66675</xdr:rowOff>
    </xdr:from>
    <xdr:to>
      <xdr:col>8</xdr:col>
      <xdr:colOff>523875</xdr:colOff>
      <xdr:row>47</xdr:row>
      <xdr:rowOff>95250</xdr:rowOff>
    </xdr:to>
    <xdr:sp>
      <xdr:nvSpPr>
        <xdr:cNvPr id="6" name="Text Box 7"/>
        <xdr:cNvSpPr txBox="1">
          <a:spLocks noChangeArrowheads="1"/>
        </xdr:cNvSpPr>
      </xdr:nvSpPr>
      <xdr:spPr>
        <a:xfrm>
          <a:off x="8610600" y="8420100"/>
          <a:ext cx="1047750" cy="228600"/>
        </a:xfrm>
        <a:prstGeom prst="rect">
          <a:avLst/>
        </a:prstGeom>
        <a:solidFill>
          <a:srgbClr val="FFFFFF"/>
        </a:solidFill>
        <a:ln w="9525" cmpd="sng">
          <a:solidFill>
            <a:srgbClr val="008000"/>
          </a:solidFill>
          <a:headEnd type="none"/>
          <a:tailEnd type="none"/>
        </a:ln>
      </xdr:spPr>
      <xdr:txBody>
        <a:bodyPr vertOverflow="clip" wrap="square" lIns="27432" tIns="22860" rIns="27432" bIns="22860" anchor="ctr"/>
        <a:p>
          <a:pPr algn="ctr">
            <a:defRPr/>
          </a:pPr>
          <a:r>
            <a:rPr lang="en-US" cap="none" sz="1000" b="0" i="1" u="none" baseline="0">
              <a:solidFill>
                <a:srgbClr val="008000"/>
              </a:solidFill>
              <a:latin typeface="Arial CE"/>
              <a:ea typeface="Arial CE"/>
              <a:cs typeface="Arial CE"/>
            </a:rPr>
            <a:t>Odhad</a:t>
          </a:r>
        </a:p>
      </xdr:txBody>
    </xdr:sp>
    <xdr:clientData/>
  </xdr:twoCellAnchor>
  <xdr:twoCellAnchor>
    <xdr:from>
      <xdr:col>1</xdr:col>
      <xdr:colOff>19050</xdr:colOff>
      <xdr:row>47</xdr:row>
      <xdr:rowOff>123825</xdr:rowOff>
    </xdr:from>
    <xdr:to>
      <xdr:col>5</xdr:col>
      <xdr:colOff>762000</xdr:colOff>
      <xdr:row>49</xdr:row>
      <xdr:rowOff>0</xdr:rowOff>
    </xdr:to>
    <xdr:sp>
      <xdr:nvSpPr>
        <xdr:cNvPr id="7" name="AutoShape 8"/>
        <xdr:cNvSpPr>
          <a:spLocks/>
        </xdr:cNvSpPr>
      </xdr:nvSpPr>
      <xdr:spPr>
        <a:xfrm rot="5400000">
          <a:off x="3619500" y="8677275"/>
          <a:ext cx="3905250" cy="247650"/>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47</xdr:row>
      <xdr:rowOff>114300</xdr:rowOff>
    </xdr:from>
    <xdr:to>
      <xdr:col>9</xdr:col>
      <xdr:colOff>771525</xdr:colOff>
      <xdr:row>49</xdr:row>
      <xdr:rowOff>0</xdr:rowOff>
    </xdr:to>
    <xdr:sp>
      <xdr:nvSpPr>
        <xdr:cNvPr id="8" name="AutoShape 9"/>
        <xdr:cNvSpPr>
          <a:spLocks/>
        </xdr:cNvSpPr>
      </xdr:nvSpPr>
      <xdr:spPr>
        <a:xfrm rot="5400000">
          <a:off x="7562850" y="8667750"/>
          <a:ext cx="3133725" cy="257175"/>
        </a:xfrm>
        <a:prstGeom prst="leftBrace">
          <a:avLst/>
        </a:prstGeom>
        <a:noFill/>
        <a:ln w="9525" cmpd="sng">
          <a:solidFill>
            <a:srgbClr val="008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14</xdr:row>
      <xdr:rowOff>57150</xdr:rowOff>
    </xdr:from>
    <xdr:to>
      <xdr:col>3</xdr:col>
      <xdr:colOff>971550</xdr:colOff>
      <xdr:row>16</xdr:row>
      <xdr:rowOff>142875</xdr:rowOff>
    </xdr:to>
    <xdr:sp>
      <xdr:nvSpPr>
        <xdr:cNvPr id="1" name="Text Box 9"/>
        <xdr:cNvSpPr txBox="1">
          <a:spLocks noChangeArrowheads="1"/>
        </xdr:cNvSpPr>
      </xdr:nvSpPr>
      <xdr:spPr>
        <a:xfrm>
          <a:off x="5124450" y="3162300"/>
          <a:ext cx="1333500" cy="542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800080"/>
              </a:solidFill>
              <a:latin typeface="Arial CE"/>
              <a:ea typeface="Arial CE"/>
              <a:cs typeface="Arial CE"/>
            </a:rPr>
            <a:t>Zaokrouhledná hodnota z listu  22-DCF, buňky C60</a:t>
          </a:r>
        </a:p>
      </xdr:txBody>
    </xdr:sp>
    <xdr:clientData/>
  </xdr:twoCellAnchor>
  <xdr:twoCellAnchor>
    <xdr:from>
      <xdr:col>2</xdr:col>
      <xdr:colOff>19050</xdr:colOff>
      <xdr:row>15</xdr:row>
      <xdr:rowOff>95250</xdr:rowOff>
    </xdr:from>
    <xdr:to>
      <xdr:col>2</xdr:col>
      <xdr:colOff>314325</xdr:colOff>
      <xdr:row>15</xdr:row>
      <xdr:rowOff>95250</xdr:rowOff>
    </xdr:to>
    <xdr:sp>
      <xdr:nvSpPr>
        <xdr:cNvPr id="2" name="Line 10"/>
        <xdr:cNvSpPr>
          <a:spLocks/>
        </xdr:cNvSpPr>
      </xdr:nvSpPr>
      <xdr:spPr>
        <a:xfrm flipH="1">
          <a:off x="4819650" y="34290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xdr:row>
      <xdr:rowOff>133350</xdr:rowOff>
    </xdr:from>
    <xdr:to>
      <xdr:col>6</xdr:col>
      <xdr:colOff>523875</xdr:colOff>
      <xdr:row>2</xdr:row>
      <xdr:rowOff>457200</xdr:rowOff>
    </xdr:to>
    <xdr:sp>
      <xdr:nvSpPr>
        <xdr:cNvPr id="1" name="Text Box 3"/>
        <xdr:cNvSpPr txBox="1">
          <a:spLocks noChangeArrowheads="1"/>
        </xdr:cNvSpPr>
      </xdr:nvSpPr>
      <xdr:spPr>
        <a:xfrm>
          <a:off x="5486400" y="333375"/>
          <a:ext cx="2009775" cy="495300"/>
        </a:xfrm>
        <a:prstGeom prst="rect">
          <a:avLst/>
        </a:prstGeom>
        <a:solidFill>
          <a:srgbClr val="CCFFFF"/>
        </a:solidFill>
        <a:ln w="15875" cmpd="sng">
          <a:solidFill>
            <a:srgbClr val="00FFFF"/>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CE"/>
              <a:ea typeface="Arial CE"/>
              <a:cs typeface="Arial CE"/>
            </a:rPr>
            <a:t>Modrá pole představují vstupní buňky</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6.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A1">
      <selection activeCell="A1" sqref="A1:E1"/>
    </sheetView>
  </sheetViews>
  <sheetFormatPr defaultColWidth="9.00390625" defaultRowHeight="12.75"/>
  <cols>
    <col min="1" max="1" width="6.125" style="582" customWidth="1"/>
    <col min="2" max="2" width="22.00390625" style="582" customWidth="1"/>
    <col min="3" max="3" width="30.25390625" style="582" customWidth="1"/>
    <col min="4" max="4" width="15.875" style="582" customWidth="1"/>
    <col min="5" max="5" width="11.75390625" style="582" customWidth="1"/>
    <col min="6" max="16384" width="9.125" style="582" customWidth="1"/>
  </cols>
  <sheetData>
    <row r="1" spans="1:5" ht="18">
      <c r="A1" s="1443" t="s">
        <v>641</v>
      </c>
      <c r="B1" s="1443"/>
      <c r="C1" s="1443"/>
      <c r="D1" s="1443"/>
      <c r="E1" s="1443"/>
    </row>
    <row r="2" spans="1:5" ht="18">
      <c r="A2" s="1443" t="s">
        <v>743</v>
      </c>
      <c r="B2" s="1443"/>
      <c r="C2" s="1443"/>
      <c r="D2" s="1443"/>
      <c r="E2" s="1443"/>
    </row>
    <row r="3" spans="1:4" ht="18">
      <c r="A3" s="1130" t="s">
        <v>642</v>
      </c>
      <c r="B3" s="1128"/>
      <c r="C3" s="1128"/>
      <c r="D3" s="1128"/>
    </row>
    <row r="4" spans="1:4" ht="18">
      <c r="A4" s="1129" t="s">
        <v>864</v>
      </c>
      <c r="B4" s="1128"/>
      <c r="C4" s="1128"/>
      <c r="D4" s="1128"/>
    </row>
    <row r="5" spans="1:4" ht="18">
      <c r="A5" s="1129"/>
      <c r="B5" s="1128"/>
      <c r="C5" s="1128"/>
      <c r="D5" s="1128"/>
    </row>
    <row r="6" spans="1:4" ht="12.75" customHeight="1">
      <c r="A6" s="1163" t="s">
        <v>670</v>
      </c>
      <c r="B6" s="1128"/>
      <c r="C6" s="1128"/>
      <c r="D6" s="1128"/>
    </row>
    <row r="7" spans="1:4" ht="12.75" customHeight="1">
      <c r="A7" s="1163" t="s">
        <v>770</v>
      </c>
      <c r="B7" s="1128"/>
      <c r="C7" s="1128"/>
      <c r="D7" s="1128"/>
    </row>
    <row r="8" spans="1:4" ht="12.75" customHeight="1">
      <c r="A8" s="1163" t="s">
        <v>771</v>
      </c>
      <c r="B8" s="1128"/>
      <c r="C8" s="1128"/>
      <c r="D8" s="1128"/>
    </row>
    <row r="9" spans="1:4" ht="12.75" customHeight="1">
      <c r="A9" s="1163" t="s">
        <v>772</v>
      </c>
      <c r="B9" s="1128"/>
      <c r="C9" s="1128"/>
      <c r="D9" s="1128"/>
    </row>
    <row r="10" spans="1:4" ht="12.75" customHeight="1">
      <c r="A10" s="1163"/>
      <c r="B10" s="1128"/>
      <c r="C10" s="1128"/>
      <c r="D10" s="1128"/>
    </row>
    <row r="11" spans="1:4" ht="13.5" customHeight="1">
      <c r="A11" s="1165" t="s">
        <v>671</v>
      </c>
      <c r="B11" s="1128"/>
      <c r="C11" s="1128"/>
      <c r="D11" s="1128"/>
    </row>
    <row r="12" spans="1:4" ht="13.5" customHeight="1">
      <c r="A12" s="1165" t="s">
        <v>673</v>
      </c>
      <c r="B12" s="1128"/>
      <c r="C12" s="1128"/>
      <c r="D12" s="1128"/>
    </row>
    <row r="13" spans="1:4" ht="13.5" customHeight="1">
      <c r="A13" s="1165" t="s">
        <v>674</v>
      </c>
      <c r="B13" s="1128"/>
      <c r="C13" s="1128"/>
      <c r="D13" s="1128"/>
    </row>
    <row r="14" ht="15">
      <c r="A14" s="1164"/>
    </row>
    <row r="15" spans="1:5" ht="12.75">
      <c r="A15" s="1138" t="s">
        <v>640</v>
      </c>
      <c r="B15" s="1140"/>
      <c r="C15" s="1139" t="s">
        <v>544</v>
      </c>
      <c r="D15" s="1437" t="s">
        <v>653</v>
      </c>
      <c r="E15" s="1438"/>
    </row>
    <row r="16" spans="1:5" ht="12.75">
      <c r="A16" s="1141"/>
      <c r="B16" s="1142"/>
      <c r="C16" s="1143"/>
      <c r="D16" s="1144" t="s">
        <v>648</v>
      </c>
      <c r="E16" s="1145" t="s">
        <v>652</v>
      </c>
    </row>
    <row r="17" ht="12.75">
      <c r="A17" s="1168" t="s">
        <v>540</v>
      </c>
    </row>
    <row r="18" spans="1:6" ht="12.75">
      <c r="A18" s="1126">
        <v>1</v>
      </c>
      <c r="B18" s="1151" t="s">
        <v>822</v>
      </c>
      <c r="C18" s="1435" t="s">
        <v>545</v>
      </c>
      <c r="D18" s="1436" t="s">
        <v>629</v>
      </c>
      <c r="E18" s="1439" t="s">
        <v>828</v>
      </c>
      <c r="F18" s="1150"/>
    </row>
    <row r="19" spans="1:6" ht="12.75">
      <c r="A19" s="1126">
        <v>2</v>
      </c>
      <c r="B19" s="1151" t="s">
        <v>823</v>
      </c>
      <c r="C19" s="1435"/>
      <c r="D19" s="1436"/>
      <c r="E19" s="1439"/>
      <c r="F19" s="1150"/>
    </row>
    <row r="20" spans="1:6" ht="12.75">
      <c r="A20" s="1126">
        <v>3</v>
      </c>
      <c r="B20" s="1151" t="s">
        <v>824</v>
      </c>
      <c r="C20" s="1435"/>
      <c r="D20" s="1436"/>
      <c r="E20" s="1439"/>
      <c r="F20" s="1150"/>
    </row>
    <row r="21" spans="1:6" ht="25.5">
      <c r="A21" s="1126">
        <v>4</v>
      </c>
      <c r="B21" s="1152" t="s">
        <v>539</v>
      </c>
      <c r="C21" s="1124" t="s">
        <v>543</v>
      </c>
      <c r="D21" s="1436"/>
      <c r="E21" s="1439"/>
      <c r="F21" s="1150"/>
    </row>
    <row r="22" spans="1:5" ht="25.5">
      <c r="A22" s="1127">
        <v>5</v>
      </c>
      <c r="B22" s="1153" t="s">
        <v>826</v>
      </c>
      <c r="C22" s="1124" t="s">
        <v>827</v>
      </c>
      <c r="D22" s="1125" t="s">
        <v>829</v>
      </c>
      <c r="E22" s="1147" t="s">
        <v>830</v>
      </c>
    </row>
    <row r="23" spans="1:5" ht="25.5">
      <c r="A23" s="1127">
        <v>6</v>
      </c>
      <c r="B23" s="1153" t="s">
        <v>170</v>
      </c>
      <c r="C23" s="1124" t="s">
        <v>631</v>
      </c>
      <c r="D23" s="1125" t="s">
        <v>630</v>
      </c>
      <c r="E23" s="1147" t="s">
        <v>831</v>
      </c>
    </row>
    <row r="24" spans="1:5" ht="12.75">
      <c r="A24" s="1168" t="s">
        <v>546</v>
      </c>
      <c r="B24" s="645"/>
      <c r="C24" s="644"/>
      <c r="E24" s="1148"/>
    </row>
    <row r="25" spans="1:5" ht="12.75">
      <c r="A25" s="1126">
        <v>7</v>
      </c>
      <c r="B25" s="1151" t="s">
        <v>547</v>
      </c>
      <c r="C25" s="1435" t="s">
        <v>832</v>
      </c>
      <c r="D25" s="1435" t="s">
        <v>632</v>
      </c>
      <c r="E25" s="1440" t="s">
        <v>833</v>
      </c>
    </row>
    <row r="26" spans="1:5" ht="12.75">
      <c r="A26" s="1126">
        <v>8</v>
      </c>
      <c r="B26" s="1151" t="s">
        <v>549</v>
      </c>
      <c r="C26" s="1435"/>
      <c r="D26" s="1435"/>
      <c r="E26" s="1441"/>
    </row>
    <row r="27" spans="1:5" ht="12.75">
      <c r="A27" s="1126">
        <v>9</v>
      </c>
      <c r="B27" s="1151" t="s">
        <v>551</v>
      </c>
      <c r="C27" s="1435"/>
      <c r="D27" s="1435"/>
      <c r="E27" s="1442"/>
    </row>
    <row r="28" spans="1:5" ht="12.75">
      <c r="A28" s="1168" t="s">
        <v>552</v>
      </c>
      <c r="B28" s="645"/>
      <c r="C28" s="644"/>
      <c r="E28" s="1148"/>
    </row>
    <row r="29" spans="1:5" ht="12.75">
      <c r="A29" s="1126">
        <v>10</v>
      </c>
      <c r="B29" s="1151" t="s">
        <v>557</v>
      </c>
      <c r="C29" s="1435" t="s">
        <v>561</v>
      </c>
      <c r="D29" s="1436" t="s">
        <v>834</v>
      </c>
      <c r="E29" s="1439" t="s">
        <v>835</v>
      </c>
    </row>
    <row r="30" spans="1:5" ht="12.75">
      <c r="A30" s="1126">
        <v>11</v>
      </c>
      <c r="B30" s="1151" t="s">
        <v>558</v>
      </c>
      <c r="C30" s="1435"/>
      <c r="D30" s="1436"/>
      <c r="E30" s="1439"/>
    </row>
    <row r="31" spans="1:5" ht="12.75">
      <c r="A31" s="1126">
        <v>12</v>
      </c>
      <c r="B31" s="1151" t="s">
        <v>559</v>
      </c>
      <c r="C31" s="1435"/>
      <c r="D31" s="1436"/>
      <c r="E31" s="1439"/>
    </row>
    <row r="32" spans="1:5" ht="12.75">
      <c r="A32" s="1126">
        <v>13</v>
      </c>
      <c r="B32" s="1151" t="s">
        <v>560</v>
      </c>
      <c r="C32" s="1435"/>
      <c r="D32" s="1436"/>
      <c r="E32" s="1439"/>
    </row>
    <row r="33" spans="1:5" ht="12.75">
      <c r="A33" s="1126">
        <v>14</v>
      </c>
      <c r="B33" s="1151" t="s">
        <v>565</v>
      </c>
      <c r="C33" s="1124" t="s">
        <v>564</v>
      </c>
      <c r="D33" s="1436"/>
      <c r="E33" s="1439"/>
    </row>
    <row r="34" spans="1:5" ht="12.75">
      <c r="A34" s="1168" t="s">
        <v>840</v>
      </c>
      <c r="B34" s="645"/>
      <c r="C34" s="644"/>
      <c r="E34" s="1148"/>
    </row>
    <row r="35" spans="1:5" ht="42" customHeight="1">
      <c r="A35" s="1126">
        <v>15</v>
      </c>
      <c r="B35" s="1151" t="s">
        <v>836</v>
      </c>
      <c r="C35" s="1124" t="s">
        <v>839</v>
      </c>
      <c r="D35" s="951" t="s">
        <v>837</v>
      </c>
      <c r="E35" s="1146" t="s">
        <v>838</v>
      </c>
    </row>
    <row r="36" spans="1:5" ht="12.75">
      <c r="A36" s="1168" t="s">
        <v>577</v>
      </c>
      <c r="B36" s="645"/>
      <c r="C36" s="644"/>
      <c r="E36" s="1148"/>
    </row>
    <row r="37" spans="1:5" ht="38.25">
      <c r="A37" s="1126">
        <v>16</v>
      </c>
      <c r="B37" s="1151" t="s">
        <v>576</v>
      </c>
      <c r="C37" s="1124" t="s">
        <v>841</v>
      </c>
      <c r="D37" s="951" t="s">
        <v>843</v>
      </c>
      <c r="E37" s="1146" t="s">
        <v>842</v>
      </c>
    </row>
    <row r="38" spans="1:5" ht="25.5">
      <c r="A38" s="1126">
        <v>17</v>
      </c>
      <c r="B38" s="1151" t="s">
        <v>592</v>
      </c>
      <c r="C38" s="1124" t="s">
        <v>844</v>
      </c>
      <c r="D38" s="951" t="s">
        <v>845</v>
      </c>
      <c r="E38" s="1146" t="s">
        <v>846</v>
      </c>
    </row>
    <row r="39" spans="1:5" ht="12.75">
      <c r="A39" s="1168" t="s">
        <v>579</v>
      </c>
      <c r="B39" s="645"/>
      <c r="C39" s="644"/>
      <c r="E39" s="1148"/>
    </row>
    <row r="40" spans="1:5" ht="25.5">
      <c r="A40" s="1126">
        <v>18</v>
      </c>
      <c r="B40" s="1151" t="s">
        <v>580</v>
      </c>
      <c r="C40" s="1124" t="s">
        <v>581</v>
      </c>
      <c r="D40" s="951" t="s">
        <v>633</v>
      </c>
      <c r="E40" s="1146" t="s">
        <v>847</v>
      </c>
    </row>
    <row r="41" spans="1:5" ht="12.75">
      <c r="A41" s="1168" t="s">
        <v>593</v>
      </c>
      <c r="B41" s="645"/>
      <c r="C41" s="644"/>
      <c r="E41" s="1148"/>
    </row>
    <row r="42" spans="1:5" ht="38.25">
      <c r="A42" s="1126">
        <v>19</v>
      </c>
      <c r="B42" s="1151" t="s">
        <v>654</v>
      </c>
      <c r="C42" s="1124" t="s">
        <v>594</v>
      </c>
      <c r="D42" s="951" t="s">
        <v>634</v>
      </c>
      <c r="E42" s="1146" t="s">
        <v>848</v>
      </c>
    </row>
    <row r="43" spans="1:5" ht="38.25">
      <c r="A43" s="1126">
        <v>20</v>
      </c>
      <c r="B43" s="1151" t="s">
        <v>655</v>
      </c>
      <c r="C43" s="1124" t="s">
        <v>595</v>
      </c>
      <c r="D43" s="951" t="s">
        <v>635</v>
      </c>
      <c r="E43" s="1146" t="s">
        <v>849</v>
      </c>
    </row>
    <row r="44" spans="1:5" ht="12.75">
      <c r="A44" s="1126">
        <v>21</v>
      </c>
      <c r="B44" s="1151" t="s">
        <v>317</v>
      </c>
      <c r="C44" s="951" t="s">
        <v>599</v>
      </c>
      <c r="D44" s="951" t="s">
        <v>636</v>
      </c>
      <c r="E44" s="1146" t="s">
        <v>850</v>
      </c>
    </row>
    <row r="45" spans="1:5" ht="12.75">
      <c r="A45" s="1168" t="s">
        <v>611</v>
      </c>
      <c r="B45" s="645"/>
      <c r="C45" s="644"/>
      <c r="E45" s="1148"/>
    </row>
    <row r="46" spans="1:5" ht="25.5">
      <c r="A46" s="1126">
        <v>22</v>
      </c>
      <c r="B46" s="1151" t="s">
        <v>612</v>
      </c>
      <c r="C46" s="1124" t="s">
        <v>614</v>
      </c>
      <c r="D46" s="1124" t="s">
        <v>851</v>
      </c>
      <c r="E46" s="1147" t="s">
        <v>852</v>
      </c>
    </row>
    <row r="47" spans="1:5" ht="25.5">
      <c r="A47" s="1126">
        <v>23</v>
      </c>
      <c r="B47" s="1151" t="s">
        <v>318</v>
      </c>
      <c r="C47" s="1124" t="s">
        <v>615</v>
      </c>
      <c r="D47" s="951" t="s">
        <v>853</v>
      </c>
      <c r="E47" s="1146" t="s">
        <v>854</v>
      </c>
    </row>
    <row r="48" spans="1:5" ht="25.5">
      <c r="A48" s="1126">
        <v>24</v>
      </c>
      <c r="B48" s="1151" t="s">
        <v>613</v>
      </c>
      <c r="C48" s="1124" t="s">
        <v>616</v>
      </c>
      <c r="D48" s="951" t="s">
        <v>637</v>
      </c>
      <c r="E48" s="1146" t="s">
        <v>855</v>
      </c>
    </row>
    <row r="49" spans="1:5" ht="12.75">
      <c r="A49" s="1168" t="s">
        <v>626</v>
      </c>
      <c r="B49" s="645"/>
      <c r="C49" s="644"/>
      <c r="E49" s="1148"/>
    </row>
    <row r="50" spans="1:5" ht="12.75">
      <c r="A50" s="1126">
        <v>25</v>
      </c>
      <c r="B50" s="1151" t="s">
        <v>236</v>
      </c>
      <c r="C50" s="1124" t="s">
        <v>627</v>
      </c>
      <c r="D50" s="951" t="s">
        <v>639</v>
      </c>
      <c r="E50" s="1146" t="s">
        <v>856</v>
      </c>
    </row>
    <row r="51" spans="1:5" ht="14.25" customHeight="1">
      <c r="A51" s="1126">
        <v>26</v>
      </c>
      <c r="B51" s="1151" t="s">
        <v>462</v>
      </c>
      <c r="C51" s="1124" t="s">
        <v>628</v>
      </c>
      <c r="D51" s="951" t="s">
        <v>649</v>
      </c>
      <c r="E51" s="1146" t="s">
        <v>857</v>
      </c>
    </row>
    <row r="52" spans="1:5" s="646" customFormat="1" ht="12.75">
      <c r="A52" s="1168" t="s">
        <v>650</v>
      </c>
      <c r="E52" s="1149"/>
    </row>
    <row r="53" spans="1:5" ht="76.5">
      <c r="A53" s="1126">
        <v>27</v>
      </c>
      <c r="B53" s="1151" t="s">
        <v>650</v>
      </c>
      <c r="C53" s="1124" t="s">
        <v>651</v>
      </c>
      <c r="D53" s="951" t="s">
        <v>638</v>
      </c>
      <c r="E53" s="1146" t="s">
        <v>858</v>
      </c>
    </row>
  </sheetData>
  <sheetProtection/>
  <mergeCells count="12">
    <mergeCell ref="D18:D21"/>
    <mergeCell ref="D25:D27"/>
    <mergeCell ref="C25:C27"/>
    <mergeCell ref="D29:D33"/>
    <mergeCell ref="D15:E15"/>
    <mergeCell ref="E18:E21"/>
    <mergeCell ref="E25:E27"/>
    <mergeCell ref="A1:E1"/>
    <mergeCell ref="A2:E2"/>
    <mergeCell ref="E29:E33"/>
    <mergeCell ref="C18:C20"/>
    <mergeCell ref="C29:C32"/>
  </mergeCells>
  <hyperlinks>
    <hyperlink ref="B18" location="'1 Regrese - Čas lin'!A1" display="Regrese - Čas lineární"/>
    <hyperlink ref="B19" location="'2 Regrese - HDP log'!A1" display="Regrese - HDP logarit."/>
    <hyperlink ref="B20" location="'3 Regrese - HDP lin'!A1" display="Regrese - HDP lineární"/>
    <hyperlink ref="B21" location="'4 Vnější potenciál'!A1" display="Vnější potenciál"/>
    <hyperlink ref="B23" location="'6 Tržby UNIPO'!A1" display="Tržby UNIPO"/>
    <hyperlink ref="B25" location="'7 Rozvaha'!A1" display="Rozvaha"/>
    <hyperlink ref="B26" location="'8 Výsledovka'!A1" display="Výsledovka"/>
    <hyperlink ref="B27" location="'9 Cash flow'!A1" display="Cash flow"/>
    <hyperlink ref="B29" location="'10 Struktura rozvahy'!A1" display="Struktura rozvahy"/>
    <hyperlink ref="B30" location="'11 Tempo rozvaha'!A1" display="Tempo rozvaha"/>
    <hyperlink ref="B31" location="'12 Struktura výsledovky'!A1" display="Struktura výsledovky"/>
    <hyperlink ref="B32" location="'13 Tempo výsledovka'!A1" display="Tempo výsledovka"/>
    <hyperlink ref="B33" location="'14 Ukazatele'!A1" display="Ukazatele"/>
    <hyperlink ref="B37" location="'16 Generátory'!A1" display="Generátory"/>
    <hyperlink ref="B38" location="'17 Generátory - ocenění'!A1" display="Generátory - ocenění"/>
    <hyperlink ref="B40" location="'18 Plán'!A1" display="Plán"/>
    <hyperlink ref="B42" location="'19 nVK - CAPM'!A1" display="nVK - CAPM"/>
    <hyperlink ref="B43" location="'20 nVK - Stavebnice'!A1" display="nVK - Stavebnice"/>
    <hyperlink ref="B44" location="'21 WACC'!A1" display="WACC"/>
    <hyperlink ref="B46" location="'22 DCF'!A1" display="DCF"/>
    <hyperlink ref="B47" location="'23 EVA'!A1" display="EVA"/>
    <hyperlink ref="B48" location="'24 KČV'!A1" display="KČV"/>
    <hyperlink ref="B50" location="'25 Pohledávka'!A1" display="Pohledávky"/>
    <hyperlink ref="B51" location="'26 Dluhopisy'!A1" display="Dluhopisy"/>
    <hyperlink ref="B53" location="'27 Souhrnné ocenění'!A1" display="Souhrnné ocenění"/>
    <hyperlink ref="B22" location="'5 Vnitřní potenciál'!A1" display="Vnitřní potenciál"/>
    <hyperlink ref="B35" location="'15 Rozdělení majektu'!A1" display="Rozdělení majetku"/>
  </hyperlink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&amp;LMařík, M. a kol.: Metody oceňování podniku - 1. díl, Ekopress 2011&amp;RPříklad UNIPO, a.s.</oddHeader>
    <oddFooter>&amp;C&amp;A&amp;R &amp;"Arial CE,kurzíva"© M. Mařík, P. Maříková</oddFooter>
  </headerFooter>
  <drawing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2.75"/>
  <cols>
    <col min="1" max="1" width="5.375" style="30" bestFit="1" customWidth="1"/>
    <col min="2" max="2" width="50.375" style="30" customWidth="1"/>
    <col min="3" max="16384" width="9.125" style="31" customWidth="1"/>
  </cols>
  <sheetData>
    <row r="1" spans="1:9" s="5" customFormat="1" ht="21" customHeight="1">
      <c r="A1" s="695" t="s">
        <v>548</v>
      </c>
      <c r="E1" s="1451" t="s">
        <v>672</v>
      </c>
      <c r="F1" s="1451"/>
      <c r="I1" s="30"/>
    </row>
    <row r="2" spans="1:9" s="5" customFormat="1" ht="21" customHeight="1" thickBot="1">
      <c r="A2" s="696" t="s">
        <v>550</v>
      </c>
      <c r="I2" s="30"/>
    </row>
    <row r="3" spans="1:6" ht="13.5" thickBot="1">
      <c r="A3" s="669"/>
      <c r="B3" s="670" t="s">
        <v>208</v>
      </c>
      <c r="C3" s="671">
        <f>výchozí_rok+1</f>
        <v>2003</v>
      </c>
      <c r="D3" s="672">
        <f>výchozí_rok+2</f>
        <v>2004</v>
      </c>
      <c r="E3" s="672">
        <f>výchozí_rok+3</f>
        <v>2005</v>
      </c>
      <c r="F3" s="673">
        <f>výchozí_rok+4</f>
        <v>2006</v>
      </c>
    </row>
    <row r="4" spans="1:6" ht="13.5" thickBot="1">
      <c r="A4" s="699"/>
      <c r="B4" s="700" t="s">
        <v>100</v>
      </c>
      <c r="C4" s="739">
        <f>'7 Rozvaha'!C22</f>
        <v>8671.503000000026</v>
      </c>
      <c r="D4" s="740">
        <f>C33</f>
        <v>15001.75937070002</v>
      </c>
      <c r="E4" s="740">
        <f>D33</f>
        <v>22853.87603816906</v>
      </c>
      <c r="F4" s="741">
        <f>E33</f>
        <v>29914.417116046774</v>
      </c>
    </row>
    <row r="5" spans="1:6" ht="12.75">
      <c r="A5" s="221" t="s">
        <v>102</v>
      </c>
      <c r="B5" s="226" t="s">
        <v>142</v>
      </c>
      <c r="C5" s="742"/>
      <c r="D5" s="743"/>
      <c r="E5" s="743"/>
      <c r="F5" s="744"/>
    </row>
    <row r="6" spans="1:6" s="86" customFormat="1" ht="12.75">
      <c r="A6" s="238" t="s">
        <v>101</v>
      </c>
      <c r="B6" s="239" t="s">
        <v>400</v>
      </c>
      <c r="C6" s="745">
        <f>'8 Výsledovka'!E29</f>
        <v>24644.2563707</v>
      </c>
      <c r="D6" s="746">
        <f>'8 Výsledovka'!F29</f>
        <v>11496.11666746904</v>
      </c>
      <c r="E6" s="746">
        <f>'8 Výsledovka'!G29</f>
        <v>38182.541077877715</v>
      </c>
      <c r="F6" s="747">
        <f>'8 Výsledovka'!H29</f>
        <v>48709.84678504098</v>
      </c>
    </row>
    <row r="7" spans="1:6" s="86" customFormat="1" ht="12.75">
      <c r="A7" s="222" t="s">
        <v>103</v>
      </c>
      <c r="B7" s="227" t="s">
        <v>104</v>
      </c>
      <c r="C7" s="748">
        <f>SUM(C8:C10)</f>
        <v>26906</v>
      </c>
      <c r="D7" s="749">
        <f>SUM(D8:D10)</f>
        <v>41244</v>
      </c>
      <c r="E7" s="749">
        <f>SUM(E8:E10)</f>
        <v>31158</v>
      </c>
      <c r="F7" s="750">
        <f>SUM(F8:F10)</f>
        <v>46466</v>
      </c>
    </row>
    <row r="8" spans="1:6" ht="12.75">
      <c r="A8" s="223" t="s">
        <v>105</v>
      </c>
      <c r="B8" s="228" t="s">
        <v>106</v>
      </c>
      <c r="C8" s="751">
        <f>'8 Výsledovka'!E14</f>
        <v>23096</v>
      </c>
      <c r="D8" s="752">
        <f>'8 Výsledovka'!F14</f>
        <v>35640</v>
      </c>
      <c r="E8" s="752">
        <f>'8 Výsledovka'!G14</f>
        <v>45310</v>
      </c>
      <c r="F8" s="753">
        <f>'8 Výsledovka'!H14</f>
        <v>45372</v>
      </c>
    </row>
    <row r="9" spans="1:6" ht="12.75">
      <c r="A9" s="223" t="s">
        <v>191</v>
      </c>
      <c r="B9" s="228" t="s">
        <v>398</v>
      </c>
      <c r="C9" s="751">
        <f>'7 Rozvaha'!D35-'7 Rozvaha'!C35</f>
        <v>3810</v>
      </c>
      <c r="D9" s="752">
        <f>'7 Rozvaha'!E35-'7 Rozvaha'!D35</f>
        <v>5604</v>
      </c>
      <c r="E9" s="752">
        <f>'7 Rozvaha'!F35-'7 Rozvaha'!E35</f>
        <v>-5438</v>
      </c>
      <c r="F9" s="753">
        <f>'7 Rozvaha'!G35-'7 Rozvaha'!F35</f>
        <v>1094</v>
      </c>
    </row>
    <row r="10" spans="1:6" ht="12.75">
      <c r="A10" s="236" t="s">
        <v>107</v>
      </c>
      <c r="B10" s="237" t="s">
        <v>109</v>
      </c>
      <c r="C10" s="754">
        <f>-('8 Výsledovka'!E15-'8 Výsledovka'!E16)</f>
        <v>0</v>
      </c>
      <c r="D10" s="755">
        <f>-('8 Výsledovka'!F15-'8 Výsledovka'!F16)</f>
        <v>0</v>
      </c>
      <c r="E10" s="755">
        <f>-('8 Výsledovka'!G15-'8 Výsledovka'!G16)</f>
        <v>-8714</v>
      </c>
      <c r="F10" s="756">
        <f>-('8 Výsledovka'!H15-'8 Výsledovka'!H16)</f>
        <v>0</v>
      </c>
    </row>
    <row r="11" spans="1:6" s="86" customFormat="1" ht="12.75">
      <c r="A11" s="222" t="s">
        <v>110</v>
      </c>
      <c r="B11" s="227" t="s">
        <v>111</v>
      </c>
      <c r="C11" s="748">
        <f>SUM(C12:C15)</f>
        <v>23388</v>
      </c>
      <c r="D11" s="749">
        <f>SUM(D12:D15)</f>
        <v>-5970</v>
      </c>
      <c r="E11" s="749">
        <f>SUM(E12:E15)</f>
        <v>-1614</v>
      </c>
      <c r="F11" s="750">
        <f>SUM(F12:F15)</f>
        <v>-15856</v>
      </c>
    </row>
    <row r="12" spans="1:6" ht="12.75">
      <c r="A12" s="223" t="s">
        <v>112</v>
      </c>
      <c r="B12" s="228" t="s">
        <v>406</v>
      </c>
      <c r="C12" s="751">
        <f>-('7 Rozvaha'!D19-'7 Rozvaha'!C19+'7 Rozvaha'!D24-'7 Rozvaha'!C24)</f>
        <v>-1982</v>
      </c>
      <c r="D12" s="752">
        <f>-('7 Rozvaha'!E19-'7 Rozvaha'!D19+'7 Rozvaha'!E24-'7 Rozvaha'!D24)</f>
        <v>-1490</v>
      </c>
      <c r="E12" s="752">
        <f>-('7 Rozvaha'!F19-'7 Rozvaha'!E19+'7 Rozvaha'!F24-'7 Rozvaha'!E24)</f>
        <v>-6208</v>
      </c>
      <c r="F12" s="753">
        <f>-('7 Rozvaha'!G19-'7 Rozvaha'!F19+'7 Rozvaha'!G24-'7 Rozvaha'!F24)</f>
        <v>-16942</v>
      </c>
    </row>
    <row r="13" spans="1:6" ht="12.75">
      <c r="A13" s="223" t="s">
        <v>114</v>
      </c>
      <c r="B13" s="228" t="s">
        <v>405</v>
      </c>
      <c r="C13" s="751">
        <f>'7 Rozvaha'!D38-'7 Rozvaha'!C38+'7 Rozvaha'!D46-'7 Rozvaha'!C46</f>
        <v>54266</v>
      </c>
      <c r="D13" s="752">
        <f>'7 Rozvaha'!E38-'7 Rozvaha'!D38+'7 Rozvaha'!E46-'7 Rozvaha'!D46</f>
        <v>-3644</v>
      </c>
      <c r="E13" s="752">
        <f>'7 Rozvaha'!F38-'7 Rozvaha'!E38+'7 Rozvaha'!F46-'7 Rozvaha'!E46</f>
        <v>7484</v>
      </c>
      <c r="F13" s="753">
        <f>'7 Rozvaha'!G38-'7 Rozvaha'!F38+'7 Rozvaha'!G46-'7 Rozvaha'!F46</f>
        <v>5986</v>
      </c>
    </row>
    <row r="14" spans="1:6" ht="12.75">
      <c r="A14" s="223" t="s">
        <v>115</v>
      </c>
      <c r="B14" s="228" t="s">
        <v>116</v>
      </c>
      <c r="C14" s="751">
        <f>-('7 Rozvaha'!D15-'7 Rozvaha'!C15)</f>
        <v>-28896</v>
      </c>
      <c r="D14" s="752">
        <f>-('7 Rozvaha'!E15-'7 Rozvaha'!D15)</f>
        <v>-836</v>
      </c>
      <c r="E14" s="752">
        <f>-('7 Rozvaha'!F15-'7 Rozvaha'!E15)</f>
        <v>-2890</v>
      </c>
      <c r="F14" s="753">
        <f>-('7 Rozvaha'!G15-'7 Rozvaha'!F15)</f>
        <v>-4900</v>
      </c>
    </row>
    <row r="15" spans="1:6" ht="12.75">
      <c r="A15" s="197" t="s">
        <v>117</v>
      </c>
      <c r="B15" s="228" t="s">
        <v>402</v>
      </c>
      <c r="C15" s="751">
        <f>-('7 Rozvaha'!D23-'7 Rozvaha'!C23)</f>
        <v>0</v>
      </c>
      <c r="D15" s="752">
        <f>-('7 Rozvaha'!E23-'7 Rozvaha'!D23)</f>
        <v>0</v>
      </c>
      <c r="E15" s="752">
        <f>-('7 Rozvaha'!F23-'7 Rozvaha'!E23)</f>
        <v>0</v>
      </c>
      <c r="F15" s="753">
        <f>-('7 Rozvaha'!G23-'7 Rozvaha'!F23)</f>
        <v>0</v>
      </c>
    </row>
    <row r="16" spans="1:6" s="86" customFormat="1" ht="13.5" thickBot="1">
      <c r="A16" s="706"/>
      <c r="B16" s="705" t="s">
        <v>118</v>
      </c>
      <c r="C16" s="757">
        <f>C6+C7+C11</f>
        <v>74938.2563707</v>
      </c>
      <c r="D16" s="758">
        <f>D6+D7+D11</f>
        <v>46770.11666746904</v>
      </c>
      <c r="E16" s="758">
        <f>E6+E7+E11</f>
        <v>67726.54107787771</v>
      </c>
      <c r="F16" s="759">
        <f>F6+F7+F11</f>
        <v>79319.84678504098</v>
      </c>
    </row>
    <row r="17" spans="1:6" ht="12.75">
      <c r="A17" s="221" t="s">
        <v>68</v>
      </c>
      <c r="B17" s="226" t="s">
        <v>119</v>
      </c>
      <c r="C17" s="742"/>
      <c r="D17" s="743"/>
      <c r="E17" s="743"/>
      <c r="F17" s="744"/>
    </row>
    <row r="18" spans="1:6" s="86" customFormat="1" ht="12.75">
      <c r="A18" s="222" t="s">
        <v>120</v>
      </c>
      <c r="B18" s="227" t="s">
        <v>403</v>
      </c>
      <c r="C18" s="748">
        <f>SUM(C19:C20)</f>
        <v>-89946</v>
      </c>
      <c r="D18" s="749">
        <f>SUM(D19:D20)</f>
        <v>-31326</v>
      </c>
      <c r="E18" s="749">
        <f>SUM(E19:E20)</f>
        <v>-45068</v>
      </c>
      <c r="F18" s="750">
        <f>SUM(F19:F20)</f>
        <v>-78310</v>
      </c>
    </row>
    <row r="19" spans="1:6" ht="12.75">
      <c r="A19" s="223" t="s">
        <v>121</v>
      </c>
      <c r="B19" s="228" t="s">
        <v>139</v>
      </c>
      <c r="C19" s="751">
        <f>-('7 Rozvaha'!D6-'7 Rozvaha'!C6+'7 Rozvaha'!D7-'7 Rozvaha'!C7+'8 Výsledovka'!E14+'8 Výsledovka'!E16)</f>
        <v>-89946</v>
      </c>
      <c r="D19" s="752">
        <f>-('7 Rozvaha'!E6-'7 Rozvaha'!D6+'7 Rozvaha'!E7-'7 Rozvaha'!D7+'8 Výsledovka'!F14+'8 Výsledovka'!F16)</f>
        <v>-31326</v>
      </c>
      <c r="E19" s="752">
        <f>-('7 Rozvaha'!F6-'7 Rozvaha'!E6+'7 Rozvaha'!F7-'7 Rozvaha'!E7+'8 Výsledovka'!G14+'8 Výsledovka'!G16)</f>
        <v>-37068</v>
      </c>
      <c r="F19" s="753">
        <f>-('7 Rozvaha'!G6-'7 Rozvaha'!F6+'7 Rozvaha'!G7-'7 Rozvaha'!F7+'8 Výsledovka'!H14+'8 Výsledovka'!H16)</f>
        <v>-79078</v>
      </c>
    </row>
    <row r="20" spans="1:6" ht="12.75">
      <c r="A20" s="236" t="s">
        <v>122</v>
      </c>
      <c r="B20" s="237" t="s">
        <v>447</v>
      </c>
      <c r="C20" s="754">
        <f>-('7 Rozvaha'!D11-'7 Rozvaha'!C11)</f>
        <v>0</v>
      </c>
      <c r="D20" s="755">
        <f>-('7 Rozvaha'!E11-'7 Rozvaha'!D11)</f>
        <v>0</v>
      </c>
      <c r="E20" s="755">
        <f>-('7 Rozvaha'!F11-'7 Rozvaha'!E11)</f>
        <v>-8000</v>
      </c>
      <c r="F20" s="756">
        <f>-('7 Rozvaha'!G11-'7 Rozvaha'!F11)</f>
        <v>768</v>
      </c>
    </row>
    <row r="21" spans="1:6" s="86" customFormat="1" ht="12.75">
      <c r="A21" s="222" t="s">
        <v>124</v>
      </c>
      <c r="B21" s="227" t="s">
        <v>448</v>
      </c>
      <c r="C21" s="748">
        <f>'8 Výsledovka'!E15</f>
        <v>0</v>
      </c>
      <c r="D21" s="749">
        <f>'8 Výsledovka'!F15</f>
        <v>0</v>
      </c>
      <c r="E21" s="749">
        <f>'8 Výsledovka'!G15</f>
        <v>15370</v>
      </c>
      <c r="F21" s="750">
        <f>'8 Výsledovka'!H15</f>
        <v>0</v>
      </c>
    </row>
    <row r="22" spans="1:6" ht="13.5" thickBot="1">
      <c r="A22" s="704"/>
      <c r="B22" s="705" t="s">
        <v>125</v>
      </c>
      <c r="C22" s="757">
        <f>C18+C21</f>
        <v>-89946</v>
      </c>
      <c r="D22" s="758">
        <f>D18+D21</f>
        <v>-31326</v>
      </c>
      <c r="E22" s="758">
        <f>E18+E21</f>
        <v>-29698</v>
      </c>
      <c r="F22" s="759">
        <f>F18+F21</f>
        <v>-78310</v>
      </c>
    </row>
    <row r="23" spans="1:6" ht="12.75">
      <c r="A23" s="221" t="s">
        <v>126</v>
      </c>
      <c r="B23" s="226" t="s">
        <v>127</v>
      </c>
      <c r="C23" s="742"/>
      <c r="D23" s="743"/>
      <c r="E23" s="743"/>
      <c r="F23" s="744"/>
    </row>
    <row r="24" spans="1:6" s="86" customFormat="1" ht="12.75">
      <c r="A24" s="222" t="s">
        <v>128</v>
      </c>
      <c r="B24" s="227" t="s">
        <v>407</v>
      </c>
      <c r="C24" s="748">
        <f>SUM(C25:C27)</f>
        <v>31338</v>
      </c>
      <c r="D24" s="749">
        <f>SUM(D25:D27)</f>
        <v>4408</v>
      </c>
      <c r="E24" s="749">
        <f>SUM(E25:E27)</f>
        <v>-15968</v>
      </c>
      <c r="F24" s="750">
        <f>SUM(F25:F27)</f>
        <v>19490</v>
      </c>
    </row>
    <row r="25" spans="1:6" ht="12.75">
      <c r="A25" s="223" t="s">
        <v>130</v>
      </c>
      <c r="B25" s="228" t="s">
        <v>140</v>
      </c>
      <c r="C25" s="751">
        <f>'7 Rozvaha'!D44-'7 Rozvaha'!C44</f>
        <v>9000</v>
      </c>
      <c r="D25" s="752">
        <f>'7 Rozvaha'!E44-'7 Rozvaha'!D44</f>
        <v>18366</v>
      </c>
      <c r="E25" s="752">
        <f>'7 Rozvaha'!F44-'7 Rozvaha'!E44</f>
        <v>21862</v>
      </c>
      <c r="F25" s="753">
        <f>'7 Rozvaha'!G44-'7 Rozvaha'!F44</f>
        <v>24960</v>
      </c>
    </row>
    <row r="26" spans="1:6" ht="12.75">
      <c r="A26" s="223" t="s">
        <v>192</v>
      </c>
      <c r="B26" s="228" t="s">
        <v>401</v>
      </c>
      <c r="C26" s="751">
        <f>'7 Rozvaha'!D45-'7 Rozvaha'!C45</f>
        <v>-2590</v>
      </c>
      <c r="D26" s="752">
        <f>'7 Rozvaha'!E45-'7 Rozvaha'!D45</f>
        <v>-10384</v>
      </c>
      <c r="E26" s="752">
        <f>'7 Rozvaha'!F45-'7 Rozvaha'!E45</f>
        <v>-22668</v>
      </c>
      <c r="F26" s="753">
        <f>'7 Rozvaha'!G45-'7 Rozvaha'!F45</f>
        <v>2490</v>
      </c>
    </row>
    <row r="27" spans="1:6" ht="12.75">
      <c r="A27" s="236" t="s">
        <v>131</v>
      </c>
      <c r="B27" s="237" t="s">
        <v>141</v>
      </c>
      <c r="C27" s="754">
        <f>'7 Rozvaha'!D37-'7 Rozvaha'!C37</f>
        <v>24928</v>
      </c>
      <c r="D27" s="755">
        <f>'7 Rozvaha'!E37-'7 Rozvaha'!D37</f>
        <v>-3574</v>
      </c>
      <c r="E27" s="755">
        <f>'7 Rozvaha'!F37-'7 Rozvaha'!E37</f>
        <v>-15162</v>
      </c>
      <c r="F27" s="756">
        <f>'7 Rozvaha'!G37-'7 Rozvaha'!F37</f>
        <v>-7960</v>
      </c>
    </row>
    <row r="28" spans="1:6" s="86" customFormat="1" ht="12.75">
      <c r="A28" s="222" t="s">
        <v>132</v>
      </c>
      <c r="B28" s="227" t="s">
        <v>133</v>
      </c>
      <c r="C28" s="748">
        <f>SUM(C29:C30)</f>
        <v>-10000</v>
      </c>
      <c r="D28" s="749">
        <f>SUM(D29:D30)</f>
        <v>-12000</v>
      </c>
      <c r="E28" s="749">
        <f>SUM(E29:E30)</f>
        <v>-15000</v>
      </c>
      <c r="F28" s="750">
        <f>SUM(F29:F30)</f>
        <v>-16000</v>
      </c>
    </row>
    <row r="29" spans="1:6" ht="12.75">
      <c r="A29" s="223" t="s">
        <v>134</v>
      </c>
      <c r="B29" s="228" t="s">
        <v>135</v>
      </c>
      <c r="C29" s="751">
        <f>'7 Rozvaha'!D28-'7 Rozvaha'!C28</f>
        <v>0</v>
      </c>
      <c r="D29" s="752">
        <f>'7 Rozvaha'!E28-'7 Rozvaha'!D28</f>
        <v>0</v>
      </c>
      <c r="E29" s="752">
        <f>'7 Rozvaha'!F28-'7 Rozvaha'!E28</f>
        <v>0</v>
      </c>
      <c r="F29" s="753">
        <f>'7 Rozvaha'!G28-'7 Rozvaha'!F28</f>
        <v>0</v>
      </c>
    </row>
    <row r="30" spans="1:6" ht="12.75">
      <c r="A30" s="223" t="s">
        <v>193</v>
      </c>
      <c r="B30" s="228" t="s">
        <v>404</v>
      </c>
      <c r="C30" s="707">
        <v>-10000</v>
      </c>
      <c r="D30" s="708">
        <v>-12000</v>
      </c>
      <c r="E30" s="708">
        <v>-15000</v>
      </c>
      <c r="F30" s="710">
        <v>-16000</v>
      </c>
    </row>
    <row r="31" spans="1:6" ht="13.5" thickBot="1">
      <c r="A31" s="704"/>
      <c r="B31" s="705" t="s">
        <v>136</v>
      </c>
      <c r="C31" s="757">
        <f>C24+C28</f>
        <v>21338</v>
      </c>
      <c r="D31" s="758">
        <f>D24+D28</f>
        <v>-7592</v>
      </c>
      <c r="E31" s="758">
        <f>E24+E28</f>
        <v>-30968</v>
      </c>
      <c r="F31" s="759">
        <f>F24+F28</f>
        <v>3490</v>
      </c>
    </row>
    <row r="32" spans="1:6" ht="13.5" thickBot="1">
      <c r="A32" s="702"/>
      <c r="B32" s="703" t="s">
        <v>137</v>
      </c>
      <c r="C32" s="760">
        <f>C16+C22+C31</f>
        <v>6330.256370699994</v>
      </c>
      <c r="D32" s="761">
        <f>D16+D22+D31</f>
        <v>7852.116667469039</v>
      </c>
      <c r="E32" s="761">
        <f>E16+E22+E31</f>
        <v>7060.541077877715</v>
      </c>
      <c r="F32" s="762">
        <f>F16+F22+F31</f>
        <v>4499.84678504098</v>
      </c>
    </row>
    <row r="33" spans="1:6" ht="13.5" thickBot="1">
      <c r="A33" s="699"/>
      <c r="B33" s="701" t="s">
        <v>138</v>
      </c>
      <c r="C33" s="739">
        <f>C4+C32</f>
        <v>15001.75937070002</v>
      </c>
      <c r="D33" s="740">
        <f>D4+D32</f>
        <v>22853.87603816906</v>
      </c>
      <c r="E33" s="740">
        <f>E4+E32</f>
        <v>29914.417116046774</v>
      </c>
      <c r="F33" s="741">
        <f>F4+F32</f>
        <v>34414.263901087754</v>
      </c>
    </row>
    <row r="35" spans="3:6" ht="12.75">
      <c r="C35" s="32"/>
      <c r="D35" s="32"/>
      <c r="E35" s="32"/>
      <c r="F35" s="32"/>
    </row>
  </sheetData>
  <sheetProtection/>
  <mergeCells count="1">
    <mergeCell ref="E1:F1"/>
  </mergeCells>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worksheet>
</file>

<file path=xl/worksheets/sheet11.xml><?xml version="1.0" encoding="utf-8"?>
<worksheet xmlns="http://schemas.openxmlformats.org/spreadsheetml/2006/main" xmlns:r="http://schemas.openxmlformats.org/officeDocument/2006/relationships">
  <dimension ref="A2:N35"/>
  <sheetViews>
    <sheetView zoomScalePageLayoutView="0" workbookViewId="0" topLeftCell="A1">
      <selection activeCell="A1" sqref="A1"/>
    </sheetView>
  </sheetViews>
  <sheetFormatPr defaultColWidth="9.00390625" defaultRowHeight="12.75"/>
  <cols>
    <col min="1" max="1" width="6.875" style="5" customWidth="1"/>
    <col min="2" max="2" width="33.75390625" style="5" customWidth="1"/>
    <col min="3" max="7" width="9.25390625" style="0" customWidth="1"/>
    <col min="8" max="8" width="9.125" style="10" customWidth="1"/>
  </cols>
  <sheetData>
    <row r="2" spans="1:9" s="5" customFormat="1" ht="21" customHeight="1">
      <c r="A2" s="695" t="s">
        <v>553</v>
      </c>
      <c r="G2" s="1167" t="s">
        <v>672</v>
      </c>
      <c r="I2" s="30"/>
    </row>
    <row r="3" spans="1:9" s="5" customFormat="1" ht="21" customHeight="1" thickBot="1">
      <c r="A3" s="696" t="s">
        <v>554</v>
      </c>
      <c r="I3" s="30"/>
    </row>
    <row r="4" spans="1:7" ht="13.5" thickBot="1">
      <c r="A4" s="669"/>
      <c r="B4" s="670" t="s">
        <v>200</v>
      </c>
      <c r="C4" s="698">
        <f>výchozí_rok</f>
        <v>2002</v>
      </c>
      <c r="D4" s="672">
        <f>výchozí_rok+1</f>
        <v>2003</v>
      </c>
      <c r="E4" s="672">
        <f>výchozí_rok+2</f>
        <v>2004</v>
      </c>
      <c r="F4" s="672">
        <f>výchozí_rok+3</f>
        <v>2005</v>
      </c>
      <c r="G4" s="769">
        <f>výchozí_rok+4</f>
        <v>2006</v>
      </c>
    </row>
    <row r="5" spans="1:8" s="1" customFormat="1" ht="13.5" thickBot="1">
      <c r="A5" s="674"/>
      <c r="B5" s="675" t="s">
        <v>0</v>
      </c>
      <c r="C5" s="771">
        <f>'7 Rozvaha'!C4/'7 Rozvaha'!C$4</f>
        <v>1</v>
      </c>
      <c r="D5" s="772">
        <f>'7 Rozvaha'!D4/'7 Rozvaha'!D$4</f>
        <v>1</v>
      </c>
      <c r="E5" s="772">
        <f>'7 Rozvaha'!E4/'7 Rozvaha'!E$4</f>
        <v>1</v>
      </c>
      <c r="F5" s="772">
        <f>'7 Rozvaha'!F4/'7 Rozvaha'!F$4</f>
        <v>1</v>
      </c>
      <c r="G5" s="773">
        <f>'7 Rozvaha'!G4/'7 Rozvaha'!G$4</f>
        <v>1</v>
      </c>
      <c r="H5" s="11"/>
    </row>
    <row r="6" spans="1:11" s="1" customFormat="1" ht="12.75">
      <c r="A6" s="685" t="s">
        <v>2</v>
      </c>
      <c r="B6" s="686" t="s">
        <v>381</v>
      </c>
      <c r="C6" s="774">
        <f>'7 Rozvaha'!C5/'7 Rozvaha'!C$4</f>
        <v>0.6943465050962503</v>
      </c>
      <c r="D6" s="775">
        <f>'7 Rozvaha'!D5/'7 Rozvaha'!D$4</f>
        <v>0.6859049055114148</v>
      </c>
      <c r="E6" s="775">
        <f>'7 Rozvaha'!E5/'7 Rozvaha'!E$4</f>
        <v>0.6729974907811145</v>
      </c>
      <c r="F6" s="775">
        <f>'7 Rozvaha'!F5/'7 Rozvaha'!F$4</f>
        <v>0.6529545168769015</v>
      </c>
      <c r="G6" s="776">
        <f>'7 Rozvaha'!G5/'7 Rozvaha'!G$4</f>
        <v>0.6448790150670595</v>
      </c>
      <c r="H6" s="12"/>
      <c r="I6" s="9"/>
      <c r="J6" s="9"/>
      <c r="K6" s="9"/>
    </row>
    <row r="7" spans="1:11" s="1" customFormat="1" ht="12.75">
      <c r="A7" s="234" t="s">
        <v>3</v>
      </c>
      <c r="B7" s="235" t="s">
        <v>4</v>
      </c>
      <c r="C7" s="764">
        <f>'7 Rozvaha'!C6/'7 Rozvaha'!C$4</f>
        <v>0.0012091232762252032</v>
      </c>
      <c r="D7" s="56">
        <f>'7 Rozvaha'!D6/'7 Rozvaha'!D$4</f>
        <v>0.001550039333772219</v>
      </c>
      <c r="E7" s="56">
        <f>'7 Rozvaha'!E6/'7 Rozvaha'!E$4</f>
        <v>0.002635295497820006</v>
      </c>
      <c r="F7" s="56">
        <f>'7 Rozvaha'!F6/'7 Rozvaha'!F$4</f>
        <v>0.0028605952099498627</v>
      </c>
      <c r="G7" s="57">
        <f>'7 Rozvaha'!G6/'7 Rozvaha'!G$4</f>
        <v>0.003029165104397098</v>
      </c>
      <c r="H7" s="12"/>
      <c r="I7" s="9"/>
      <c r="J7" s="9"/>
      <c r="K7" s="9"/>
    </row>
    <row r="8" spans="1:11" s="1" customFormat="1" ht="12.75">
      <c r="A8" s="222" t="s">
        <v>5</v>
      </c>
      <c r="B8" s="227" t="s">
        <v>6</v>
      </c>
      <c r="C8" s="69">
        <f>'7 Rozvaha'!C7/'7 Rozvaha'!C$4</f>
        <v>0.6907601857491749</v>
      </c>
      <c r="D8" s="38">
        <f>'7 Rozvaha'!D7/'7 Rozvaha'!D$4</f>
        <v>0.682364190662294</v>
      </c>
      <c r="E8" s="38">
        <f>'7 Rozvaha'!E7/'7 Rozvaha'!E$4</f>
        <v>0.668389594540508</v>
      </c>
      <c r="F8" s="38">
        <f>'7 Rozvaha'!F7/'7 Rozvaha'!F$4</f>
        <v>0.6359374862469543</v>
      </c>
      <c r="G8" s="39">
        <f>'7 Rozvaha'!G7/'7 Rozvaha'!G$4</f>
        <v>0.629943159399815</v>
      </c>
      <c r="H8" s="12"/>
      <c r="I8" s="9"/>
      <c r="J8" s="9"/>
      <c r="K8" s="9"/>
    </row>
    <row r="9" spans="1:11" ht="12.75">
      <c r="A9" s="223" t="s">
        <v>7</v>
      </c>
      <c r="B9" s="228" t="s">
        <v>8</v>
      </c>
      <c r="C9" s="71">
        <f>'7 Rozvaha'!C8/'7 Rozvaha'!C$4</f>
        <v>0.027100781580084648</v>
      </c>
      <c r="D9" s="41">
        <f>'7 Rozvaha'!D8/'7 Rozvaha'!D$4</f>
        <v>0.022694325890834387</v>
      </c>
      <c r="E9" s="41">
        <f>'7 Rozvaha'!E8/'7 Rozvaha'!E$4</f>
        <v>0.022488267808659087</v>
      </c>
      <c r="F9" s="41">
        <f>'7 Rozvaha'!F8/'7 Rozvaha'!F$4</f>
        <v>0.02217037610955806</v>
      </c>
      <c r="G9" s="42">
        <f>'7 Rozvaha'!G8/'7 Rozvaha'!G$4</f>
        <v>0.02033068113505705</v>
      </c>
      <c r="H9" s="12"/>
      <c r="I9" s="9"/>
      <c r="J9" s="9"/>
      <c r="K9" s="9"/>
    </row>
    <row r="10" spans="1:14" ht="12.75">
      <c r="A10" s="223" t="s">
        <v>9</v>
      </c>
      <c r="B10" s="228" t="s">
        <v>10</v>
      </c>
      <c r="C10" s="71">
        <f>'7 Rozvaha'!C9/'7 Rozvaha'!C$4</f>
        <v>0.5923696450773308</v>
      </c>
      <c r="D10" s="41">
        <f>'7 Rozvaha'!D9/'7 Rozvaha'!D$4</f>
        <v>0.551110859979969</v>
      </c>
      <c r="E10" s="41">
        <f>'7 Rozvaha'!E9/'7 Rozvaha'!E$4</f>
        <v>0.5210112357482051</v>
      </c>
      <c r="F10" s="41">
        <f>'7 Rozvaha'!F9/'7 Rozvaha'!F$4</f>
        <v>0.5028755415023815</v>
      </c>
      <c r="G10" s="42">
        <f>'7 Rozvaha'!G9/'7 Rozvaha'!G$4</f>
        <v>0.49132946009398404</v>
      </c>
      <c r="H10" s="12"/>
      <c r="I10" s="9"/>
      <c r="J10" s="9"/>
      <c r="K10" s="9"/>
      <c r="L10" s="9"/>
      <c r="M10" s="9"/>
      <c r="N10" s="9"/>
    </row>
    <row r="11" spans="1:13" ht="12.75">
      <c r="A11" s="236" t="s">
        <v>11</v>
      </c>
      <c r="B11" s="237" t="s">
        <v>174</v>
      </c>
      <c r="C11" s="70">
        <f>'7 Rozvaha'!C10/'7 Rozvaha'!C$4</f>
        <v>0.07128975909175944</v>
      </c>
      <c r="D11" s="60">
        <f>'7 Rozvaha'!D10/'7 Rozvaha'!D$4</f>
        <v>0.10855900479149062</v>
      </c>
      <c r="E11" s="60">
        <f>'7 Rozvaha'!E10/'7 Rozvaha'!E$4</f>
        <v>0.12489009098364375</v>
      </c>
      <c r="F11" s="60">
        <f>'7 Rozvaha'!F10/'7 Rozvaha'!F$4</f>
        <v>0.11089156863501479</v>
      </c>
      <c r="G11" s="61">
        <f>'7 Rozvaha'!G10/'7 Rozvaha'!G$4</f>
        <v>0.11828301817077394</v>
      </c>
      <c r="H11" s="12"/>
      <c r="I11" s="9"/>
      <c r="J11" s="9"/>
      <c r="K11" s="9"/>
      <c r="L11" s="9"/>
      <c r="M11" s="9"/>
    </row>
    <row r="12" spans="1:11" s="1" customFormat="1" ht="13.5" thickBot="1">
      <c r="A12" s="232" t="s">
        <v>13</v>
      </c>
      <c r="B12" s="233" t="s">
        <v>14</v>
      </c>
      <c r="C12" s="765">
        <f>'7 Rozvaha'!C11/'7 Rozvaha'!C$4</f>
        <v>0.002377196070850168</v>
      </c>
      <c r="D12" s="49">
        <f>'7 Rozvaha'!D11/'7 Rozvaha'!D$4</f>
        <v>0.0019906755153485957</v>
      </c>
      <c r="E12" s="49">
        <f>'7 Rozvaha'!E11/'7 Rozvaha'!E$4</f>
        <v>0.0019726007427865377</v>
      </c>
      <c r="F12" s="49">
        <f>'7 Rozvaha'!F11/'7 Rozvaha'!F$4</f>
        <v>0.014156435419997346</v>
      </c>
      <c r="G12" s="50">
        <f>'7 Rozvaha'!G11/'7 Rozvaha'!G$4</f>
        <v>0.011906690562847374</v>
      </c>
      <c r="H12" s="12"/>
      <c r="I12" s="9"/>
      <c r="J12" s="9"/>
      <c r="K12" s="9"/>
    </row>
    <row r="13" spans="1:11" s="1" customFormat="1" ht="12.75">
      <c r="A13" s="685" t="s">
        <v>19</v>
      </c>
      <c r="B13" s="686" t="s">
        <v>20</v>
      </c>
      <c r="C13" s="774">
        <f>'7 Rozvaha'!C14/'7 Rozvaha'!C$4</f>
        <v>0.30164174329281734</v>
      </c>
      <c r="D13" s="775">
        <f>'7 Rozvaha'!D14/'7 Rozvaha'!D$4</f>
        <v>0.308238695876712</v>
      </c>
      <c r="E13" s="775">
        <f>'7 Rozvaha'!E14/'7 Rozvaha'!E$4</f>
        <v>0.3220446853739857</v>
      </c>
      <c r="F13" s="775">
        <f>'7 Rozvaha'!F14/'7 Rozvaha'!F$4</f>
        <v>0.33324929341790804</v>
      </c>
      <c r="G13" s="776">
        <f>'7 Rozvaha'!G14/'7 Rozvaha'!G$4</f>
        <v>0.3356833755800487</v>
      </c>
      <c r="H13" s="12"/>
      <c r="I13" s="9"/>
      <c r="J13" s="9"/>
      <c r="K13" s="9"/>
    </row>
    <row r="14" spans="1:11" s="1" customFormat="1" ht="12.75">
      <c r="A14" s="222" t="s">
        <v>21</v>
      </c>
      <c r="B14" s="227" t="s">
        <v>22</v>
      </c>
      <c r="C14" s="69">
        <f>'7 Rozvaha'!C15/'7 Rozvaha'!C$4</f>
        <v>0.20291253054997832</v>
      </c>
      <c r="D14" s="38">
        <f>'7 Rozvaha'!D15/'7 Rozvaha'!D$4</f>
        <v>0.21507108264019736</v>
      </c>
      <c r="E14" s="38">
        <f>'7 Rozvaha'!E15/'7 Rozvaha'!E$4</f>
        <v>0.2144127202979546</v>
      </c>
      <c r="F14" s="38">
        <f>'7 Rozvaha'!F15/'7 Rozvaha'!F$4</f>
        <v>0.21579328902891792</v>
      </c>
      <c r="G14" s="39">
        <f>'7 Rozvaha'!G15/'7 Rozvaha'!G$4</f>
        <v>0.20474580475506227</v>
      </c>
      <c r="H14" s="12"/>
      <c r="I14" s="9"/>
      <c r="J14" s="9"/>
      <c r="K14" s="9"/>
    </row>
    <row r="15" spans="1:14" ht="12.75">
      <c r="A15" s="223" t="s">
        <v>23</v>
      </c>
      <c r="B15" s="228" t="s">
        <v>24</v>
      </c>
      <c r="C15" s="71">
        <f>'7 Rozvaha'!C16/'7 Rozvaha'!C$4</f>
        <v>0.0037281301016943765</v>
      </c>
      <c r="D15" s="41">
        <f>'7 Rozvaha'!D16/'7 Rozvaha'!D$4</f>
        <v>0.0029625751782581928</v>
      </c>
      <c r="E15" s="41">
        <f>'7 Rozvaha'!E16/'7 Rozvaha'!E$4</f>
        <v>0.003155541847565906</v>
      </c>
      <c r="F15" s="41">
        <f>'7 Rozvaha'!F16/'7 Rozvaha'!F$4</f>
        <v>0.0034467577289577322</v>
      </c>
      <c r="G15" s="42">
        <f>'7 Rozvaha'!G16/'7 Rozvaha'!G$4</f>
        <v>0.002785600072897516</v>
      </c>
      <c r="H15" s="12"/>
      <c r="I15" s="9"/>
      <c r="J15" s="9"/>
      <c r="K15" s="9"/>
      <c r="L15" s="9"/>
      <c r="M15" s="9"/>
      <c r="N15" s="9"/>
    </row>
    <row r="16" spans="1:13" ht="12.75">
      <c r="A16" s="236" t="s">
        <v>25</v>
      </c>
      <c r="B16" s="237" t="s">
        <v>26</v>
      </c>
      <c r="C16" s="70">
        <f>'7 Rozvaha'!C17/'7 Rozvaha'!C$4</f>
        <v>0.19918440044828395</v>
      </c>
      <c r="D16" s="60">
        <f>'7 Rozvaha'!D17/'7 Rozvaha'!D$4</f>
        <v>0.21210850746193916</v>
      </c>
      <c r="E16" s="60">
        <f>'7 Rozvaha'!E17/'7 Rozvaha'!E$4</f>
        <v>0.21125717845038872</v>
      </c>
      <c r="F16" s="60">
        <f>'7 Rozvaha'!F17/'7 Rozvaha'!F$4</f>
        <v>0.2123465312999602</v>
      </c>
      <c r="G16" s="61">
        <f>'7 Rozvaha'!G17/'7 Rozvaha'!G$4</f>
        <v>0.20196020468216475</v>
      </c>
      <c r="H16" s="12"/>
      <c r="I16" s="9"/>
      <c r="J16" s="9"/>
      <c r="K16" s="9"/>
      <c r="L16" s="9"/>
      <c r="M16" s="9"/>
    </row>
    <row r="17" spans="1:11" s="1" customFormat="1" ht="12.75">
      <c r="A17" s="234" t="s">
        <v>29</v>
      </c>
      <c r="B17" s="235" t="s">
        <v>202</v>
      </c>
      <c r="C17" s="68">
        <f>'7 Rozvaha'!C19/'7 Rozvaha'!C$4</f>
        <v>0.08254878663611573</v>
      </c>
      <c r="D17" s="62">
        <f>'7 Rozvaha'!D19/'7 Rozvaha'!D$4</f>
        <v>0.06972676938533418</v>
      </c>
      <c r="E17" s="62">
        <f>'7 Rozvaha'!E19/'7 Rozvaha'!E$4</f>
        <v>0.0722461151164991</v>
      </c>
      <c r="F17" s="62">
        <f>'7 Rozvaha'!F19/'7 Rozvaha'!F$4</f>
        <v>0.07179269685931801</v>
      </c>
      <c r="G17" s="63">
        <f>'7 Rozvaha'!G19/'7 Rozvaha'!G$4</f>
        <v>0.08276451754278319</v>
      </c>
      <c r="H17" s="12"/>
      <c r="I17" s="9"/>
      <c r="J17" s="9"/>
      <c r="K17" s="9"/>
    </row>
    <row r="18" spans="1:11" s="1" customFormat="1" ht="13.5" thickBot="1">
      <c r="A18" s="232" t="s">
        <v>32</v>
      </c>
      <c r="B18" s="763" t="s">
        <v>384</v>
      </c>
      <c r="C18" s="766">
        <f>'7 Rozvaha'!C21/'7 Rozvaha'!C$4</f>
        <v>0.01618042610672332</v>
      </c>
      <c r="D18" s="66">
        <f>'7 Rozvaha'!D21/'7 Rozvaha'!D$4</f>
        <v>0.02344084385118045</v>
      </c>
      <c r="E18" s="66">
        <f>'7 Rozvaha'!E21/'7 Rozvaha'!E$4</f>
        <v>0.03538584995953198</v>
      </c>
      <c r="F18" s="66">
        <f>'7 Rozvaha'!F21/'7 Rozvaha'!F$4</f>
        <v>0.04566330752967214</v>
      </c>
      <c r="G18" s="67">
        <f>'7 Rozvaha'!G21/'7 Rozvaha'!G$4</f>
        <v>0.04817305328220322</v>
      </c>
      <c r="H18" s="12"/>
      <c r="I18" s="9"/>
      <c r="J18" s="9"/>
      <c r="K18" s="9"/>
    </row>
    <row r="19" spans="1:11" s="1" customFormat="1" ht="13.5" thickBot="1">
      <c r="A19" s="690" t="s">
        <v>35</v>
      </c>
      <c r="B19" s="691" t="s">
        <v>36</v>
      </c>
      <c r="C19" s="777">
        <f>'7 Rozvaha'!C24/'7 Rozvaha'!C$4</f>
        <v>0.004011751610932387</v>
      </c>
      <c r="D19" s="778">
        <f>'7 Rozvaha'!D24/'7 Rozvaha'!D$4</f>
        <v>0.0058563986118732635</v>
      </c>
      <c r="E19" s="778">
        <f>'7 Rozvaha'!E24/'7 Rozvaha'!E$4</f>
        <v>0.004957823844899917</v>
      </c>
      <c r="F19" s="778">
        <f>'7 Rozvaha'!F24/'7 Rozvaha'!F$4</f>
        <v>0.013796189705190426</v>
      </c>
      <c r="G19" s="779">
        <f>'7 Rozvaha'!G24/'7 Rozvaha'!G$4</f>
        <v>0.019437609352891915</v>
      </c>
      <c r="H19" s="12"/>
      <c r="I19" s="9"/>
      <c r="J19" s="9"/>
      <c r="K19" s="9"/>
    </row>
    <row r="20" spans="1:11" ht="13.5" thickBot="1">
      <c r="A20" s="223"/>
      <c r="B20" s="768"/>
      <c r="C20" s="29"/>
      <c r="D20" s="29"/>
      <c r="E20" s="29"/>
      <c r="F20" s="29"/>
      <c r="G20" s="29"/>
      <c r="H20" s="12"/>
      <c r="I20" s="9"/>
      <c r="J20" s="9"/>
      <c r="K20" s="9"/>
    </row>
    <row r="21" spans="1:11" ht="13.5" thickBot="1">
      <c r="A21" s="770"/>
      <c r="B21" s="670" t="s">
        <v>201</v>
      </c>
      <c r="C21" s="698">
        <f>výchozí_rok</f>
        <v>2002</v>
      </c>
      <c r="D21" s="672">
        <f>výchozí_rok+1</f>
        <v>2003</v>
      </c>
      <c r="E21" s="672">
        <f>výchozí_rok+2</f>
        <v>2004</v>
      </c>
      <c r="F21" s="672">
        <f>výchozí_rok+3</f>
        <v>2005</v>
      </c>
      <c r="G21" s="769">
        <f>výchozí_rok+4</f>
        <v>2006</v>
      </c>
      <c r="H21" s="12"/>
      <c r="I21" s="9"/>
      <c r="J21" s="9"/>
      <c r="K21" s="9"/>
    </row>
    <row r="22" spans="1:11" s="1" customFormat="1" ht="13.5" thickBot="1">
      <c r="A22" s="679"/>
      <c r="B22" s="675" t="s">
        <v>37</v>
      </c>
      <c r="C22" s="771">
        <f>'7 Rozvaha'!C26/'7 Rozvaha'!C$4</f>
        <v>1</v>
      </c>
      <c r="D22" s="772">
        <f>'7 Rozvaha'!D26/'7 Rozvaha'!D$4</f>
        <v>1</v>
      </c>
      <c r="E22" s="772">
        <f>'7 Rozvaha'!E26/'7 Rozvaha'!E$4</f>
        <v>1</v>
      </c>
      <c r="F22" s="772">
        <f>'7 Rozvaha'!F26/'7 Rozvaha'!F$4</f>
        <v>1</v>
      </c>
      <c r="G22" s="773">
        <f>'7 Rozvaha'!G26/'7 Rozvaha'!G$4</f>
        <v>1</v>
      </c>
      <c r="H22" s="12"/>
      <c r="I22" s="9"/>
      <c r="J22" s="9"/>
      <c r="K22" s="9"/>
    </row>
    <row r="23" spans="1:11" s="1" customFormat="1" ht="13.5" thickBot="1">
      <c r="A23" s="690" t="s">
        <v>1</v>
      </c>
      <c r="B23" s="691" t="s">
        <v>38</v>
      </c>
      <c r="C23" s="780">
        <f>'7 Rozvaha'!C27/'7 Rozvaha'!C$4</f>
        <v>0.4785543915419901</v>
      </c>
      <c r="D23" s="781">
        <f>'7 Rozvaha'!D27/'7 Rozvaha'!D$4</f>
        <v>0.4236259989429854</v>
      </c>
      <c r="E23" s="781">
        <f>'7 Rozvaha'!E27/'7 Rozvaha'!E$4</f>
        <v>0.4189994053989522</v>
      </c>
      <c r="F23" s="781">
        <f>'7 Rozvaha'!F27/'7 Rozvaha'!F$4</f>
        <v>0.44846381063060586</v>
      </c>
      <c r="G23" s="782">
        <f>'7 Rozvaha'!G27/'7 Rozvaha'!G$4</f>
        <v>0.4570375528261679</v>
      </c>
      <c r="H23" s="13"/>
      <c r="I23" s="9"/>
      <c r="J23" s="9"/>
      <c r="K23" s="9"/>
    </row>
    <row r="24" spans="1:11" s="1" customFormat="1" ht="12.75">
      <c r="A24" s="685" t="s">
        <v>2</v>
      </c>
      <c r="B24" s="686" t="s">
        <v>50</v>
      </c>
      <c r="C24" s="774">
        <f>'7 Rozvaha'!C34/'7 Rozvaha'!C$4</f>
        <v>0.46538557803993885</v>
      </c>
      <c r="D24" s="775">
        <f>'7 Rozvaha'!D34/'7 Rozvaha'!D$4</f>
        <v>0.5217319894622419</v>
      </c>
      <c r="E24" s="775">
        <f>'7 Rozvaha'!E34/'7 Rozvaha'!E$4</f>
        <v>0.550683857910498</v>
      </c>
      <c r="F24" s="775">
        <f>'7 Rozvaha'!F34/'7 Rozvaha'!F$4</f>
        <v>0.5308159549084233</v>
      </c>
      <c r="G24" s="776">
        <f>'7 Rozvaha'!G34/'7 Rozvaha'!G$4</f>
        <v>0.5262824419132056</v>
      </c>
      <c r="H24" s="12"/>
      <c r="I24" s="9"/>
      <c r="J24" s="9"/>
      <c r="K24" s="9"/>
    </row>
    <row r="25" spans="1:11" s="1" customFormat="1" ht="12.75">
      <c r="A25" s="234" t="s">
        <v>3</v>
      </c>
      <c r="B25" s="235" t="s">
        <v>51</v>
      </c>
      <c r="C25" s="68">
        <f>'7 Rozvaha'!C35/'7 Rozvaha'!C$4</f>
        <v>0</v>
      </c>
      <c r="D25" s="62">
        <f>'7 Rozvaha'!D35/'7 Rozvaha'!D$4</f>
        <v>0.005953276070234027</v>
      </c>
      <c r="E25" s="62">
        <f>'7 Rozvaha'!E35/'7 Rozvaha'!E$4</f>
        <v>0.014576187906273522</v>
      </c>
      <c r="F25" s="62">
        <f>'7 Rozvaha'!F35/'7 Rozvaha'!F$4</f>
        <v>0.006069224415560648</v>
      </c>
      <c r="G25" s="63">
        <f>'7 Rozvaha'!G35/'7 Rozvaha'!G$4</f>
        <v>0.007096981090246436</v>
      </c>
      <c r="H25" s="12"/>
      <c r="I25" s="9"/>
      <c r="J25" s="9"/>
      <c r="K25" s="9"/>
    </row>
    <row r="26" spans="1:11" s="1" customFormat="1" ht="12.75">
      <c r="A26" s="234" t="s">
        <v>5</v>
      </c>
      <c r="B26" s="235" t="s">
        <v>203</v>
      </c>
      <c r="C26" s="68">
        <f>'7 Rozvaha'!C36/'7 Rozvaha'!C$4</f>
        <v>0.027126904613830254</v>
      </c>
      <c r="D26" s="62">
        <f>'7 Rozvaha'!D36/'7 Rozvaha'!D$4</f>
        <v>0.06166718986557903</v>
      </c>
      <c r="E26" s="62">
        <f>'7 Rozvaha'!E36/'7 Rozvaha'!E$4</f>
        <v>0.05557345828892811</v>
      </c>
      <c r="F26" s="62">
        <f>'7 Rozvaha'!F36/'7 Rozvaha'!F$4</f>
        <v>0.03164361723706545</v>
      </c>
      <c r="G26" s="63">
        <f>'7 Rozvaha'!G36/'7 Rozvaha'!G$4</f>
        <v>0.017875433633618737</v>
      </c>
      <c r="H26" s="12"/>
      <c r="I26" s="9"/>
      <c r="J26" s="9"/>
      <c r="K26" s="9"/>
    </row>
    <row r="27" spans="1:11" s="1" customFormat="1" ht="12.75">
      <c r="A27" s="222" t="s">
        <v>13</v>
      </c>
      <c r="B27" s="227" t="s">
        <v>53</v>
      </c>
      <c r="C27" s="69">
        <f>'7 Rozvaha'!C38/'7 Rozvaha'!C$4</f>
        <v>0.22117626300012075</v>
      </c>
      <c r="D27" s="38">
        <f>'7 Rozvaha'!D38/'7 Rozvaha'!D$4</f>
        <v>0.26230978136862654</v>
      </c>
      <c r="E27" s="38">
        <f>'7 Rozvaha'!E38/'7 Rozvaha'!E$4</f>
        <v>0.2781150278016624</v>
      </c>
      <c r="F27" s="38">
        <f>'7 Rozvaha'!F38/'7 Rozvaha'!F$4</f>
        <v>0.29477563553544184</v>
      </c>
      <c r="G27" s="39">
        <f>'7 Rozvaha'!G38/'7 Rozvaha'!G$4</f>
        <v>0.28101525479118994</v>
      </c>
      <c r="H27" s="12"/>
      <c r="I27" s="9"/>
      <c r="J27" s="9"/>
      <c r="K27" s="9"/>
    </row>
    <row r="28" spans="1:11" ht="12.75">
      <c r="A28" s="236" t="s">
        <v>15</v>
      </c>
      <c r="B28" s="237" t="s">
        <v>556</v>
      </c>
      <c r="C28" s="70">
        <f>'7 Rozvaha'!C39/'7 Rozvaha'!C$4</f>
        <v>0.15448788970955166</v>
      </c>
      <c r="D28" s="60">
        <f>'7 Rozvaha'!D39/'7 Rozvaha'!D$4</f>
        <v>0.18092334110767913</v>
      </c>
      <c r="E28" s="60">
        <f>'7 Rozvaha'!E39/'7 Rozvaha'!E$4</f>
        <v>0.18569078640573305</v>
      </c>
      <c r="F28" s="60">
        <f>'7 Rozvaha'!F39/'7 Rozvaha'!F$4</f>
        <v>0.21166878088735733</v>
      </c>
      <c r="G28" s="61">
        <f>'7 Rozvaha'!G39/'7 Rozvaha'!G$4</f>
        <v>0.20377154462906394</v>
      </c>
      <c r="H28" s="12"/>
      <c r="I28" s="9"/>
      <c r="J28" s="9"/>
      <c r="K28" s="9"/>
    </row>
    <row r="29" spans="1:11" s="1" customFormat="1" ht="12.75">
      <c r="A29" s="222" t="s">
        <v>58</v>
      </c>
      <c r="B29" s="227" t="s">
        <v>59</v>
      </c>
      <c r="C29" s="69">
        <f>'7 Rozvaha'!C43/'7 Rozvaha'!C$4</f>
        <v>0.21708241042598786</v>
      </c>
      <c r="D29" s="38">
        <f>'7 Rozvaha'!D43/'7 Rozvaha'!D$4</f>
        <v>0.19180174215780232</v>
      </c>
      <c r="E29" s="38">
        <f>'7 Rozvaha'!E43/'7 Rozvaha'!E$4</f>
        <v>0.20241918391363395</v>
      </c>
      <c r="F29" s="38">
        <f>'7 Rozvaha'!F43/'7 Rozvaha'!F$4</f>
        <v>0.1983274777203553</v>
      </c>
      <c r="G29" s="39">
        <f>'7 Rozvaha'!G43/'7 Rozvaha'!G$4</f>
        <v>0.2202947723981505</v>
      </c>
      <c r="H29" s="12"/>
      <c r="I29" s="9"/>
      <c r="J29" s="9"/>
      <c r="K29" s="9"/>
    </row>
    <row r="30" spans="1:11" ht="12.75">
      <c r="A30" s="223" t="s">
        <v>60</v>
      </c>
      <c r="B30" s="228" t="s">
        <v>61</v>
      </c>
      <c r="C30" s="71">
        <f>'7 Rozvaha'!C44/'7 Rozvaha'!C$4</f>
        <v>0.08712778126552413</v>
      </c>
      <c r="D30" s="41">
        <f>'7 Rozvaha'!D44/'7 Rozvaha'!D$4</f>
        <v>0.08702408332168343</v>
      </c>
      <c r="E30" s="41">
        <f>'7 Rozvaha'!E44/'7 Rozvaha'!E$4</f>
        <v>0.11467096625649215</v>
      </c>
      <c r="F30" s="41">
        <f>'7 Rozvaha'!F44/'7 Rozvaha'!F$4</f>
        <v>0.14642156549029386</v>
      </c>
      <c r="G30" s="42">
        <f>'7 Rozvaha'!G44/'7 Rozvaha'!G$4</f>
        <v>0.16921050653869224</v>
      </c>
      <c r="H30" s="12"/>
      <c r="I30" s="9"/>
      <c r="J30" s="9"/>
      <c r="K30" s="9"/>
    </row>
    <row r="31" spans="1:11" ht="13.5" thickBot="1">
      <c r="A31" s="230" t="s">
        <v>62</v>
      </c>
      <c r="B31" s="231" t="s">
        <v>389</v>
      </c>
      <c r="C31" s="767">
        <f>'7 Rozvaha'!C45/'7 Rozvaha'!C$4</f>
        <v>0.12995462916046374</v>
      </c>
      <c r="D31" s="52">
        <f>'7 Rozvaha'!D45/'7 Rozvaha'!D$4</f>
        <v>0.10477765883611888</v>
      </c>
      <c r="E31" s="52">
        <f>'7 Rozvaha'!E45/'7 Rozvaha'!E$4</f>
        <v>0.08774821765714182</v>
      </c>
      <c r="F31" s="52">
        <f>'7 Rozvaha'!F45/'7 Rozvaha'!F$4</f>
        <v>0.051905912230061434</v>
      </c>
      <c r="G31" s="53">
        <f>'7 Rozvaha'!G45/'7 Rozvaha'!G$4</f>
        <v>0.05108426585945827</v>
      </c>
      <c r="H31" s="12"/>
      <c r="I31" s="9"/>
      <c r="J31" s="9"/>
      <c r="K31" s="9"/>
    </row>
    <row r="32" spans="1:11" s="1" customFormat="1" ht="13.5" thickBot="1">
      <c r="A32" s="690" t="s">
        <v>19</v>
      </c>
      <c r="B32" s="691" t="s">
        <v>36</v>
      </c>
      <c r="C32" s="777">
        <f>'7 Rozvaha'!C46/'7 Rozvaha'!C$4</f>
        <v>0.056060030418071</v>
      </c>
      <c r="D32" s="778">
        <f>'7 Rozvaha'!D46/'7 Rozvaha'!D$4</f>
        <v>0.05464201159477269</v>
      </c>
      <c r="E32" s="778">
        <f>'7 Rozvaha'!E46/'7 Rozvaha'!E$4</f>
        <v>0.030316736690549774</v>
      </c>
      <c r="F32" s="778">
        <f>'7 Rozvaha'!F46/'7 Rozvaha'!F$4</f>
        <v>0.020720234460970884</v>
      </c>
      <c r="G32" s="779">
        <f>'7 Rozvaha'!G46/'7 Rozvaha'!G$4</f>
        <v>0.016680005260626535</v>
      </c>
      <c r="H32" s="12"/>
      <c r="I32" s="9"/>
      <c r="J32" s="9"/>
      <c r="K32" s="9"/>
    </row>
    <row r="33" spans="1:7" ht="12.75">
      <c r="A33" s="30"/>
      <c r="B33" s="30"/>
      <c r="C33" s="31"/>
      <c r="D33" s="31"/>
      <c r="E33" s="31"/>
      <c r="F33" s="31"/>
      <c r="G33" s="31"/>
    </row>
    <row r="34" spans="1:7" ht="12.75">
      <c r="A34" s="30"/>
      <c r="B34" s="4"/>
      <c r="C34" s="32"/>
      <c r="D34" s="32"/>
      <c r="E34" s="32"/>
      <c r="F34" s="32"/>
      <c r="G34" s="32"/>
    </row>
    <row r="35" spans="1:7" ht="12.75">
      <c r="A35" s="30"/>
      <c r="B35" s="30"/>
      <c r="C35" s="31"/>
      <c r="D35" s="31"/>
      <c r="E35" s="31"/>
      <c r="F35" s="31"/>
      <c r="G35" s="31"/>
    </row>
  </sheetData>
  <sheetProtection/>
  <hyperlinks>
    <hyperlink ref="G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D7:G32 C7:C20 C22:C32" unlockedFormula="1"/>
  </ignoredErrors>
</worksheet>
</file>

<file path=xl/worksheets/sheet12.xml><?xml version="1.0" encoding="utf-8"?>
<worksheet xmlns="http://schemas.openxmlformats.org/spreadsheetml/2006/main" xmlns:r="http://schemas.openxmlformats.org/officeDocument/2006/relationships">
  <dimension ref="A2:M34"/>
  <sheetViews>
    <sheetView zoomScalePageLayoutView="0" workbookViewId="0" topLeftCell="A1">
      <selection activeCell="A1" sqref="A1"/>
    </sheetView>
  </sheetViews>
  <sheetFormatPr defaultColWidth="9.00390625" defaultRowHeight="12.75"/>
  <cols>
    <col min="1" max="1" width="6.875" style="5" customWidth="1"/>
    <col min="2" max="2" width="33.75390625" style="5" customWidth="1"/>
    <col min="3" max="6" width="10.00390625" style="0" customWidth="1"/>
    <col min="7" max="7" width="9.125" style="10" customWidth="1"/>
  </cols>
  <sheetData>
    <row r="2" spans="1:9" s="5" customFormat="1" ht="21" customHeight="1">
      <c r="A2" s="695" t="s">
        <v>553</v>
      </c>
      <c r="F2" s="1167" t="s">
        <v>672</v>
      </c>
      <c r="I2" s="30"/>
    </row>
    <row r="3" spans="1:9" s="5" customFormat="1" ht="21" customHeight="1" thickBot="1">
      <c r="A3" s="696" t="s">
        <v>555</v>
      </c>
      <c r="I3" s="30"/>
    </row>
    <row r="4" spans="1:6" ht="13.5" thickBot="1">
      <c r="A4" s="669"/>
      <c r="B4" s="670" t="s">
        <v>205</v>
      </c>
      <c r="C4" s="698">
        <f>výchozí_rok+1</f>
        <v>2003</v>
      </c>
      <c r="D4" s="672">
        <f>výchozí_rok+2</f>
        <v>2004</v>
      </c>
      <c r="E4" s="672">
        <f>výchozí_rok+3</f>
        <v>2005</v>
      </c>
      <c r="F4" s="769">
        <f>výchozí_rok+4</f>
        <v>2006</v>
      </c>
    </row>
    <row r="5" spans="1:7" s="1" customFormat="1" ht="13.5" thickBot="1">
      <c r="A5" s="674"/>
      <c r="B5" s="675" t="s">
        <v>0</v>
      </c>
      <c r="C5" s="771">
        <f>'7 Rozvaha'!D4/'7 Rozvaha'!C4-1</f>
        <v>0.19416552447719582</v>
      </c>
      <c r="D5" s="772">
        <f>'7 Rozvaha'!E4/'7 Rozvaha'!D4-1</f>
        <v>0.009162914810893374</v>
      </c>
      <c r="E5" s="772">
        <f>'7 Rozvaha'!F4/'7 Rozvaha'!E4-1</f>
        <v>0.014338579441779409</v>
      </c>
      <c r="F5" s="773">
        <f>'7 Rozvaha'!G4/'7 Rozvaha'!F4-1</f>
        <v>0.09048860499458367</v>
      </c>
      <c r="G5" s="11"/>
    </row>
    <row r="6" spans="1:10" s="1" customFormat="1" ht="12.75">
      <c r="A6" s="685" t="s">
        <v>2</v>
      </c>
      <c r="B6" s="686" t="s">
        <v>381</v>
      </c>
      <c r="C6" s="774">
        <f>'7 Rozvaha'!D5/'7 Rozvaha'!C5-1</f>
        <v>0.17964731617390184</v>
      </c>
      <c r="D6" s="775">
        <f>'7 Rozvaha'!E5/'7 Rozvaha'!D5-1</f>
        <v>-0.009827595633394637</v>
      </c>
      <c r="E6" s="775">
        <f>'7 Rozvaha'!F5/'7 Rozvaha'!E5-1</f>
        <v>-0.015870094373915844</v>
      </c>
      <c r="F6" s="776">
        <f>'7 Rozvaha'!G5/'7 Rozvaha'!F5-1</f>
        <v>0.07700184217170536</v>
      </c>
      <c r="G6" s="12"/>
      <c r="H6" s="9"/>
      <c r="I6" s="9"/>
      <c r="J6" s="9"/>
    </row>
    <row r="7" spans="1:10" s="1" customFormat="1" ht="12.75">
      <c r="A7" s="234" t="s">
        <v>3</v>
      </c>
      <c r="B7" s="235" t="s">
        <v>4</v>
      </c>
      <c r="C7" s="764">
        <f>'7 Rozvaha'!D6/'7 Rozvaha'!C6-1</f>
        <v>0.5308641975308641</v>
      </c>
      <c r="D7" s="56">
        <f>'7 Rozvaha'!E6/'7 Rozvaha'!D6-1</f>
        <v>0.715725806451613</v>
      </c>
      <c r="E7" s="56">
        <f>'7 Rozvaha'!F6/'7 Rozvaha'!E6-1</f>
        <v>0.10105757931844894</v>
      </c>
      <c r="F7" s="57">
        <f>'7 Rozvaha'!G6/'7 Rozvaha'!F6-1</f>
        <v>0.15474919957310562</v>
      </c>
      <c r="G7" s="12"/>
      <c r="H7" s="9"/>
      <c r="I7" s="9"/>
      <c r="J7" s="9"/>
    </row>
    <row r="8" spans="1:10" s="1" customFormat="1" ht="12.75">
      <c r="A8" s="222" t="s">
        <v>5</v>
      </c>
      <c r="B8" s="227" t="s">
        <v>6</v>
      </c>
      <c r="C8" s="69">
        <f>'7 Rozvaha'!D7/'7 Rozvaha'!C7-1</f>
        <v>0.17965077958702946</v>
      </c>
      <c r="D8" s="38">
        <f>'7 Rozvaha'!E7/'7 Rozvaha'!D7-1</f>
        <v>-0.011504412620047533</v>
      </c>
      <c r="E8" s="38">
        <f>'7 Rozvaha'!F7/'7 Rozvaha'!E7-1</f>
        <v>-0.03491028034785182</v>
      </c>
      <c r="F8" s="39">
        <f>'7 Rozvaha'!G7/'7 Rozvaha'!F7-1</f>
        <v>0.08020969352484819</v>
      </c>
      <c r="G8" s="12"/>
      <c r="H8" s="9"/>
      <c r="I8" s="9"/>
      <c r="J8" s="9"/>
    </row>
    <row r="9" spans="1:10" ht="12.75">
      <c r="A9" s="223" t="s">
        <v>7</v>
      </c>
      <c r="B9" s="228" t="s">
        <v>8</v>
      </c>
      <c r="C9" s="71">
        <f>'7 Rozvaha'!D8/'7 Rozvaha'!C8-1</f>
        <v>0</v>
      </c>
      <c r="D9" s="41">
        <f>'7 Rozvaha'!E8/'7 Rozvaha'!D8-1</f>
        <v>0</v>
      </c>
      <c r="E9" s="41">
        <f>'7 Rozvaha'!F8/'7 Rozvaha'!E8-1</f>
        <v>0</v>
      </c>
      <c r="F9" s="42">
        <f>'7 Rozvaha'!G8/'7 Rozvaha'!F8-1</f>
        <v>0</v>
      </c>
      <c r="G9" s="12"/>
      <c r="H9" s="9"/>
      <c r="I9" s="9"/>
      <c r="J9" s="9"/>
    </row>
    <row r="10" spans="1:13" ht="12.75">
      <c r="A10" s="223" t="s">
        <v>9</v>
      </c>
      <c r="B10" s="228" t="s">
        <v>10</v>
      </c>
      <c r="C10" s="71">
        <f>'7 Rozvaha'!D9/'7 Rozvaha'!C9-1</f>
        <v>0.11099141325370265</v>
      </c>
      <c r="D10" s="41">
        <f>'7 Rozvaha'!E9/'7 Rozvaha'!D9-1</f>
        <v>-0.04595380803057536</v>
      </c>
      <c r="E10" s="41">
        <f>'7 Rozvaha'!F9/'7 Rozvaha'!E9-1</f>
        <v>-0.020969170326959774</v>
      </c>
      <c r="F10" s="42">
        <f>'7 Rozvaha'!G9/'7 Rozvaha'!F9-1</f>
        <v>0.0654508587351792</v>
      </c>
      <c r="G10" s="12"/>
      <c r="H10" s="9"/>
      <c r="I10" s="9"/>
      <c r="J10" s="9"/>
      <c r="K10" s="9"/>
      <c r="L10" s="9"/>
      <c r="M10" s="9"/>
    </row>
    <row r="11" spans="1:12" ht="12.75">
      <c r="A11" s="236" t="s">
        <v>11</v>
      </c>
      <c r="B11" s="237" t="s">
        <v>174</v>
      </c>
      <c r="C11" s="70">
        <f>'7 Rozvaha'!D10/'7 Rozvaha'!C10-1</f>
        <v>0.8184578338480868</v>
      </c>
      <c r="D11" s="60">
        <f>'7 Rozvaha'!E10/'7 Rozvaha'!D10-1</f>
        <v>0.16097645230007496</v>
      </c>
      <c r="E11" s="60">
        <f>'7 Rozvaha'!F10/'7 Rozvaha'!E10-1</f>
        <v>-0.0993553186213737</v>
      </c>
      <c r="F11" s="61">
        <f>'7 Rozvaha'!G10/'7 Rozvaha'!F10-1</f>
        <v>0.1631748478925199</v>
      </c>
      <c r="G11" s="12"/>
      <c r="H11" s="9"/>
      <c r="I11" s="9"/>
      <c r="J11" s="9"/>
      <c r="K11" s="9"/>
      <c r="L11" s="9"/>
    </row>
    <row r="12" spans="1:10" s="1" customFormat="1" ht="13.5" thickBot="1">
      <c r="A12" s="232" t="s">
        <v>13</v>
      </c>
      <c r="B12" s="233" t="s">
        <v>14</v>
      </c>
      <c r="C12" s="765">
        <f>'7 Rozvaha'!D11/'7 Rozvaha'!C11-1</f>
        <v>0</v>
      </c>
      <c r="D12" s="49">
        <f>'7 Rozvaha'!E11/'7 Rozvaha'!D11-1</f>
        <v>0</v>
      </c>
      <c r="E12" s="49">
        <f>'7 Rozvaha'!F11/'7 Rozvaha'!E11-1</f>
        <v>6.279434850863423</v>
      </c>
      <c r="F12" s="50">
        <f>'7 Rozvaha'!G11/'7 Rozvaha'!F11-1</f>
        <v>-0.08281216303644601</v>
      </c>
      <c r="G12" s="12"/>
      <c r="H12" s="9"/>
      <c r="I12" s="9"/>
      <c r="J12" s="9"/>
    </row>
    <row r="13" spans="1:10" s="1" customFormat="1" ht="12.75">
      <c r="A13" s="685" t="s">
        <v>19</v>
      </c>
      <c r="B13" s="686" t="s">
        <v>20</v>
      </c>
      <c r="C13" s="774">
        <f>'7 Rozvaha'!D14/'7 Rozvaha'!C14-1</f>
        <v>0.22028211317045998</v>
      </c>
      <c r="D13" s="775">
        <f>'7 Rozvaha'!E14/'7 Rozvaha'!D14-1</f>
        <v>0.05436325074953863</v>
      </c>
      <c r="E13" s="775">
        <f>'7 Rozvaha'!F14/'7 Rozvaha'!E14-1</f>
        <v>0.0496295397421358</v>
      </c>
      <c r="F13" s="776">
        <f>'7 Rozvaha'!G14/'7 Rozvaha'!F14-1</f>
        <v>0.09845362971890115</v>
      </c>
      <c r="G13" s="12"/>
      <c r="H13" s="9"/>
      <c r="I13" s="9"/>
      <c r="J13" s="9"/>
    </row>
    <row r="14" spans="1:10" s="1" customFormat="1" ht="12.75">
      <c r="A14" s="222" t="s">
        <v>21</v>
      </c>
      <c r="B14" s="227" t="s">
        <v>22</v>
      </c>
      <c r="C14" s="69">
        <f>'7 Rozvaha'!D15/'7 Rozvaha'!C15-1</f>
        <v>0.26572011844113796</v>
      </c>
      <c r="D14" s="38">
        <f>'7 Rozvaha'!E15/'7 Rozvaha'!D15-1</f>
        <v>0.006073727495967907</v>
      </c>
      <c r="E14" s="38">
        <f>'7 Rozvaha'!F15/'7 Rozvaha'!E15-1</f>
        <v>0.020869741041898315</v>
      </c>
      <c r="F14" s="39">
        <f>'7 Rozvaha'!G15/'7 Rozvaha'!F15-1</f>
        <v>0.034661309490125136</v>
      </c>
      <c r="G14" s="12"/>
      <c r="H14" s="9"/>
      <c r="I14" s="9"/>
      <c r="J14" s="9"/>
    </row>
    <row r="15" spans="1:13" ht="12.75">
      <c r="A15" s="223" t="s">
        <v>23</v>
      </c>
      <c r="B15" s="228" t="s">
        <v>24</v>
      </c>
      <c r="C15" s="71">
        <f>'7 Rozvaha'!D16/'7 Rozvaha'!C16-1</f>
        <v>-0.05105105105105101</v>
      </c>
      <c r="D15" s="41">
        <f>'7 Rozvaha'!E16/'7 Rozvaha'!D16-1</f>
        <v>0.07489451476793252</v>
      </c>
      <c r="E15" s="41">
        <f>'7 Rozvaha'!F16/'7 Rozvaha'!E16-1</f>
        <v>0.10794896957801758</v>
      </c>
      <c r="F15" s="42">
        <f>'7 Rozvaha'!G16/'7 Rozvaha'!F16-1</f>
        <v>-0.11868910540301147</v>
      </c>
      <c r="G15" s="12"/>
      <c r="H15" s="9"/>
      <c r="I15" s="9"/>
      <c r="J15" s="9"/>
      <c r="K15" s="9"/>
      <c r="L15" s="9"/>
      <c r="M15" s="9"/>
    </row>
    <row r="16" spans="1:12" ht="12.75">
      <c r="A16" s="236" t="s">
        <v>25</v>
      </c>
      <c r="B16" s="237" t="s">
        <v>26</v>
      </c>
      <c r="C16" s="70">
        <f>'7 Rozvaha'!D17/'7 Rozvaha'!C17-1</f>
        <v>0.2716491175478697</v>
      </c>
      <c r="D16" s="60">
        <f>'7 Rozvaha'!E17/'7 Rozvaha'!D17-1</f>
        <v>0.0051124895024530215</v>
      </c>
      <c r="E16" s="60">
        <f>'7 Rozvaha'!F17/'7 Rozvaha'!E17-1</f>
        <v>0.019569041336851445</v>
      </c>
      <c r="F16" s="61">
        <f>'7 Rozvaha'!G17/'7 Rozvaha'!F17-1</f>
        <v>0.03715045647329451</v>
      </c>
      <c r="G16" s="12"/>
      <c r="H16" s="9"/>
      <c r="I16" s="9"/>
      <c r="J16" s="9"/>
      <c r="K16" s="9"/>
      <c r="L16" s="9"/>
    </row>
    <row r="17" spans="1:10" s="1" customFormat="1" ht="12.75">
      <c r="A17" s="234" t="s">
        <v>29</v>
      </c>
      <c r="B17" s="235" t="s">
        <v>204</v>
      </c>
      <c r="C17" s="68">
        <f>'7 Rozvaha'!D19/'7 Rozvaha'!C19-1</f>
        <v>0.008679927667269549</v>
      </c>
      <c r="D17" s="62">
        <f>'7 Rozvaha'!E19/'7 Rozvaha'!D19-1</f>
        <v>0.04562567228397274</v>
      </c>
      <c r="E17" s="62">
        <f>'7 Rozvaha'!F19/'7 Rozvaha'!E19-1</f>
        <v>0.007972567509644257</v>
      </c>
      <c r="F17" s="63">
        <f>'7 Rozvaha'!G19/'7 Rozvaha'!F19-1</f>
        <v>0.2571440721211091</v>
      </c>
      <c r="G17" s="12"/>
      <c r="H17" s="9"/>
      <c r="I17" s="9"/>
      <c r="J17" s="9"/>
    </row>
    <row r="18" spans="1:10" s="1" customFormat="1" ht="13.5" thickBot="1">
      <c r="A18" s="232" t="s">
        <v>32</v>
      </c>
      <c r="B18" s="763" t="s">
        <v>34</v>
      </c>
      <c r="C18" s="766">
        <f>'7 Rozvaha'!D21/'7 Rozvaha'!C21-1</f>
        <v>0.7300068247338407</v>
      </c>
      <c r="D18" s="66">
        <f>'7 Rozvaha'!E21/'7 Rozvaha'!D21-1</f>
        <v>0.5234130526586789</v>
      </c>
      <c r="E18" s="66">
        <f>'7 Rozvaha'!F21/'7 Rozvaha'!E21-1</f>
        <v>0.3089428272948387</v>
      </c>
      <c r="F18" s="67">
        <f>'7 Rozvaha'!G21/'7 Rozvaha'!F21-1</f>
        <v>0.15042401687402962</v>
      </c>
      <c r="G18" s="12"/>
      <c r="H18" s="9"/>
      <c r="I18" s="9"/>
      <c r="J18" s="9"/>
    </row>
    <row r="19" spans="1:10" s="1" customFormat="1" ht="13.5" thickBot="1">
      <c r="A19" s="690" t="s">
        <v>35</v>
      </c>
      <c r="B19" s="691" t="s">
        <v>36</v>
      </c>
      <c r="C19" s="777">
        <f>'7 Rozvaha'!D24/'7 Rozvaha'!C24-1</f>
        <v>0.7432558139534884</v>
      </c>
      <c r="D19" s="778">
        <f>'7 Rozvaha'!E24/'7 Rozvaha'!D24-1</f>
        <v>-0.14567769477054426</v>
      </c>
      <c r="E19" s="778">
        <f>'7 Rozvaha'!F24/'7 Rozvaha'!E24-1</f>
        <v>1.8226108682073705</v>
      </c>
      <c r="F19" s="779">
        <f>'7 Rozvaha'!G24/'7 Rozvaha'!F24-1</f>
        <v>0.5364018588183226</v>
      </c>
      <c r="G19" s="12"/>
      <c r="H19" s="9"/>
      <c r="I19" s="9"/>
      <c r="J19" s="9"/>
    </row>
    <row r="20" spans="1:10" ht="13.5" thickBot="1">
      <c r="A20" s="223"/>
      <c r="B20" s="768"/>
      <c r="C20" s="29"/>
      <c r="D20" s="29"/>
      <c r="E20" s="29"/>
      <c r="F20" s="29"/>
      <c r="G20" s="12"/>
      <c r="H20" s="9"/>
      <c r="I20" s="9"/>
      <c r="J20" s="9"/>
    </row>
    <row r="21" spans="1:10" ht="13.5" thickBot="1">
      <c r="A21" s="770"/>
      <c r="B21" s="670" t="s">
        <v>206</v>
      </c>
      <c r="C21" s="698">
        <f>výchozí_rok+1</f>
        <v>2003</v>
      </c>
      <c r="D21" s="672">
        <f>výchozí_rok+2</f>
        <v>2004</v>
      </c>
      <c r="E21" s="672">
        <f>výchozí_rok+3</f>
        <v>2005</v>
      </c>
      <c r="F21" s="769">
        <f>výchozí_rok+4</f>
        <v>2006</v>
      </c>
      <c r="G21" s="12"/>
      <c r="H21" s="9"/>
      <c r="I21" s="9"/>
      <c r="J21" s="9"/>
    </row>
    <row r="22" spans="1:10" s="1" customFormat="1" ht="13.5" thickBot="1">
      <c r="A22" s="679"/>
      <c r="B22" s="675" t="s">
        <v>37</v>
      </c>
      <c r="C22" s="771">
        <f>'7 Rozvaha'!D26/'7 Rozvaha'!C26-1</f>
        <v>0.19416552447719582</v>
      </c>
      <c r="D22" s="772">
        <f>'7 Rozvaha'!E26/'7 Rozvaha'!D26-1</f>
        <v>0.009162914810893374</v>
      </c>
      <c r="E22" s="772">
        <f>'7 Rozvaha'!F26/'7 Rozvaha'!E26-1</f>
        <v>0.014338579441779409</v>
      </c>
      <c r="F22" s="773">
        <f>'7 Rozvaha'!G26/'7 Rozvaha'!F26-1</f>
        <v>0.09048860499458367</v>
      </c>
      <c r="G22" s="12"/>
      <c r="H22" s="9"/>
      <c r="I22" s="9"/>
      <c r="J22" s="9"/>
    </row>
    <row r="23" spans="1:10" s="1" customFormat="1" ht="13.5" thickBot="1">
      <c r="A23" s="690" t="s">
        <v>1</v>
      </c>
      <c r="B23" s="691" t="s">
        <v>38</v>
      </c>
      <c r="C23" s="780">
        <f>'7 Rozvaha'!D27/'7 Rozvaha'!C27-1</f>
        <v>0.057099406359827576</v>
      </c>
      <c r="D23" s="781">
        <f>'7 Rozvaha'!E27/'7 Rozvaha'!D27-1</f>
        <v>-0.0018585679078058082</v>
      </c>
      <c r="E23" s="781">
        <f>'7 Rozvaha'!F27/'7 Rozvaha'!E27-1</f>
        <v>0.08566775690998019</v>
      </c>
      <c r="F23" s="782">
        <f>'7 Rozvaha'!G27/'7 Rozvaha'!F27-1</f>
        <v>0.11133659304801169</v>
      </c>
      <c r="G23" s="13"/>
      <c r="H23" s="9"/>
      <c r="I23" s="9"/>
      <c r="J23" s="9"/>
    </row>
    <row r="24" spans="1:10" s="1" customFormat="1" ht="12.75">
      <c r="A24" s="685" t="s">
        <v>2</v>
      </c>
      <c r="B24" s="686" t="s">
        <v>50</v>
      </c>
      <c r="C24" s="774">
        <f>'7 Rozvaha'!D34/'7 Rozvaha'!C34-1</f>
        <v>0.33874873702949326</v>
      </c>
      <c r="D24" s="775">
        <f>'7 Rozvaha'!E34/'7 Rozvaha'!D34-1</f>
        <v>0.06516322252171314</v>
      </c>
      <c r="E24" s="775">
        <f>'7 Rozvaha'!F34/'7 Rozvaha'!E34-1</f>
        <v>-0.022257337104746644</v>
      </c>
      <c r="F24" s="776">
        <f>'7 Rozvaha'!G34/'7 Rozvaha'!F34-1</f>
        <v>0.08117512408624794</v>
      </c>
      <c r="G24" s="12"/>
      <c r="H24" s="9"/>
      <c r="I24" s="9"/>
      <c r="J24" s="9"/>
    </row>
    <row r="25" spans="1:10" s="1" customFormat="1" ht="12.75">
      <c r="A25" s="234" t="s">
        <v>3</v>
      </c>
      <c r="B25" s="235" t="s">
        <v>51</v>
      </c>
      <c r="C25" s="68"/>
      <c r="D25" s="62"/>
      <c r="E25" s="62">
        <f>'7 Rozvaha'!F35/'7 Rozvaha'!E35-1</f>
        <v>-0.5776503080518377</v>
      </c>
      <c r="F25" s="63">
        <f>'7 Rozvaha'!G35/'7 Rozvaha'!F35-1</f>
        <v>0.27515090543259557</v>
      </c>
      <c r="G25" s="12"/>
      <c r="H25" s="9"/>
      <c r="I25" s="9"/>
      <c r="J25" s="9"/>
    </row>
    <row r="26" spans="1:10" s="1" customFormat="1" ht="12.75">
      <c r="A26" s="234" t="s">
        <v>5</v>
      </c>
      <c r="B26" s="235" t="s">
        <v>203</v>
      </c>
      <c r="C26" s="68">
        <f>'7 Rozvaha'!D36/'7 Rozvaha'!C36-1</f>
        <v>1.7146787728710966</v>
      </c>
      <c r="D26" s="62">
        <f>'7 Rozvaha'!E36/'7 Rozvaha'!D36-1</f>
        <v>-0.09055896214463077</v>
      </c>
      <c r="E26" s="62">
        <f>'7 Rozvaha'!F36/'7 Rozvaha'!E36-1</f>
        <v>-0.4224339685723838</v>
      </c>
      <c r="F26" s="63">
        <f>'7 Rozvaha'!G36/'7 Rozvaha'!F36-1</f>
        <v>-0.38398456343463583</v>
      </c>
      <c r="G26" s="12"/>
      <c r="H26" s="9"/>
      <c r="I26" s="9"/>
      <c r="J26" s="9"/>
    </row>
    <row r="27" spans="1:10" s="1" customFormat="1" ht="12.75">
      <c r="A27" s="222" t="s">
        <v>13</v>
      </c>
      <c r="B27" s="227" t="s">
        <v>53</v>
      </c>
      <c r="C27" s="69">
        <f>'7 Rozvaha'!D38/'7 Rozvaha'!C38-1</f>
        <v>0.41625187709855394</v>
      </c>
      <c r="D27" s="38">
        <f>'7 Rozvaha'!E38/'7 Rozvaha'!D38-1</f>
        <v>0.06996914352430994</v>
      </c>
      <c r="E27" s="38">
        <f>'7 Rozvaha'!F38/'7 Rozvaha'!E38-1</f>
        <v>0.0751029952121145</v>
      </c>
      <c r="F27" s="39">
        <f>'7 Rozvaha'!G38/'7 Rozvaha'!F38-1</f>
        <v>0.03958365698306654</v>
      </c>
      <c r="G27" s="12"/>
      <c r="H27" s="9"/>
      <c r="I27" s="9"/>
      <c r="J27" s="9"/>
    </row>
    <row r="28" spans="1:10" ht="12.75">
      <c r="A28" s="236" t="s">
        <v>15</v>
      </c>
      <c r="B28" s="237" t="s">
        <v>556</v>
      </c>
      <c r="C28" s="70">
        <f>'7 Rozvaha'!D39/'7 Rozvaha'!C39-1</f>
        <v>0.3985071381984202</v>
      </c>
      <c r="D28" s="60">
        <f>'7 Rozvaha'!E39/'7 Rozvaha'!D39-1</f>
        <v>0.03575500051818836</v>
      </c>
      <c r="E28" s="60">
        <f>'7 Rozvaha'!F39/'7 Rozvaha'!E39-1</f>
        <v>0.15624374624774862</v>
      </c>
      <c r="F28" s="61">
        <f>'7 Rozvaha'!G39/'7 Rozvaha'!F39-1</f>
        <v>0.049803124053481085</v>
      </c>
      <c r="G28" s="12"/>
      <c r="H28" s="9"/>
      <c r="I28" s="9"/>
      <c r="J28" s="9"/>
    </row>
    <row r="29" spans="1:10" s="1" customFormat="1" ht="12.75">
      <c r="A29" s="222" t="s">
        <v>58</v>
      </c>
      <c r="B29" s="227" t="s">
        <v>59</v>
      </c>
      <c r="C29" s="69">
        <f>'7 Rozvaha'!D43/'7 Rozvaha'!C43-1</f>
        <v>0.055097129104349385</v>
      </c>
      <c r="D29" s="38">
        <f>'7 Rozvaha'!E43/'7 Rozvaha'!D43-1</f>
        <v>0.06502647657841143</v>
      </c>
      <c r="E29" s="38">
        <f>'7 Rozvaha'!F43/'7 Rozvaha'!E43-1</f>
        <v>-0.006165284704586438</v>
      </c>
      <c r="F29" s="39">
        <f>'7 Rozvaha'!G43/'7 Rozvaha'!F43-1</f>
        <v>0.2112741098779305</v>
      </c>
      <c r="G29" s="12"/>
      <c r="H29" s="9"/>
      <c r="I29" s="9"/>
      <c r="J29" s="9"/>
    </row>
    <row r="30" spans="1:10" ht="12.75">
      <c r="A30" s="223" t="s">
        <v>60</v>
      </c>
      <c r="B30" s="228" t="s">
        <v>61</v>
      </c>
      <c r="C30" s="71">
        <f>'7 Rozvaha'!D44/'7 Rozvaha'!C44-1</f>
        <v>0.1927442497965477</v>
      </c>
      <c r="D30" s="41">
        <f>'7 Rozvaha'!E44/'7 Rozvaha'!D44-1</f>
        <v>0.3297662225733473</v>
      </c>
      <c r="E30" s="41">
        <f>'7 Rozvaha'!F44/'7 Rozvaha'!E44-1</f>
        <v>0.2951930866864705</v>
      </c>
      <c r="F30" s="42">
        <f>'7 Rozvaha'!G44/'7 Rozvaha'!F44-1</f>
        <v>0.2602114217801965</v>
      </c>
      <c r="G30" s="12"/>
      <c r="H30" s="9"/>
      <c r="I30" s="9"/>
      <c r="J30" s="9"/>
    </row>
    <row r="31" spans="1:10" ht="13.5" thickBot="1">
      <c r="A31" s="230" t="s">
        <v>62</v>
      </c>
      <c r="B31" s="231" t="s">
        <v>389</v>
      </c>
      <c r="C31" s="767">
        <f>'7 Rozvaha'!D45/'7 Rozvaha'!C45-1</f>
        <v>-0.037188065359101796</v>
      </c>
      <c r="D31" s="52">
        <f>'7 Rozvaha'!E45/'7 Rozvaha'!D45-1</f>
        <v>-0.1548556430446194</v>
      </c>
      <c r="E31" s="52">
        <f>'7 Rozvaha'!F45/'7 Rozvaha'!E45-1</f>
        <v>-0.39998588368153587</v>
      </c>
      <c r="F31" s="53">
        <f>'7 Rozvaha'!G45/'7 Rozvaha'!F45-1</f>
        <v>0.07322667921421</v>
      </c>
      <c r="G31" s="12"/>
      <c r="H31" s="9"/>
      <c r="I31" s="9"/>
      <c r="J31" s="9"/>
    </row>
    <row r="32" spans="1:10" s="1" customFormat="1" ht="13.5" thickBot="1">
      <c r="A32" s="690" t="s">
        <v>19</v>
      </c>
      <c r="B32" s="691" t="s">
        <v>36</v>
      </c>
      <c r="C32" s="777">
        <f>'7 Rozvaha'!D46/'7 Rozvaha'!C46-1</f>
        <v>0.16395952602849162</v>
      </c>
      <c r="D32" s="778">
        <f>'7 Rozvaha'!E46/'7 Rozvaha'!D46-1</f>
        <v>-0.4400915070060052</v>
      </c>
      <c r="E32" s="778">
        <f>'7 Rozvaha'!F46/'7 Rozvaha'!E46-1</f>
        <v>-0.30674157303370786</v>
      </c>
      <c r="F32" s="779">
        <f>'7 Rozvaha'!G46/'7 Rozvaha'!F46-1</f>
        <v>-0.12214527773684991</v>
      </c>
      <c r="G32" s="12"/>
      <c r="H32" s="9"/>
      <c r="I32" s="9"/>
      <c r="J32" s="9"/>
    </row>
    <row r="34" spans="2:6" ht="12.75">
      <c r="B34" s="4"/>
      <c r="C34" s="7"/>
      <c r="D34" s="7"/>
      <c r="E34" s="7"/>
      <c r="F34" s="7"/>
    </row>
  </sheetData>
  <sheetProtection/>
  <hyperlinks>
    <hyperlink ref="F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C7:F32" unlockedFormula="1"/>
  </ignoredErrors>
</worksheet>
</file>

<file path=xl/worksheets/sheet13.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3.375" style="5" customWidth="1"/>
    <col min="2" max="2" width="2.875" style="5" customWidth="1"/>
    <col min="3" max="3" width="39.00390625" style="5" bestFit="1" customWidth="1"/>
    <col min="4" max="8" width="9.75390625" style="0" bestFit="1" customWidth="1"/>
  </cols>
  <sheetData>
    <row r="1" spans="1:9" s="5" customFormat="1" ht="21" customHeight="1">
      <c r="A1" s="695" t="s">
        <v>553</v>
      </c>
      <c r="H1" s="1167" t="s">
        <v>672</v>
      </c>
      <c r="I1" s="30"/>
    </row>
    <row r="2" spans="1:9" s="5" customFormat="1" ht="21" customHeight="1" thickBot="1">
      <c r="A2" s="696" t="s">
        <v>562</v>
      </c>
      <c r="I2" s="30"/>
    </row>
    <row r="3" spans="1:10" ht="13.5" thickBot="1">
      <c r="A3" s="669"/>
      <c r="B3" s="697"/>
      <c r="C3" s="670" t="s">
        <v>208</v>
      </c>
      <c r="D3" s="671">
        <f>výchozí_rok</f>
        <v>2002</v>
      </c>
      <c r="E3" s="672">
        <f>výchozí_rok+1</f>
        <v>2003</v>
      </c>
      <c r="F3" s="672">
        <f>výchozí_rok+2</f>
        <v>2004</v>
      </c>
      <c r="G3" s="672">
        <f>výchozí_rok+3</f>
        <v>2005</v>
      </c>
      <c r="H3" s="769">
        <f>výchozí_rok+4</f>
        <v>2006</v>
      </c>
      <c r="I3" s="30"/>
      <c r="J3" s="30"/>
    </row>
    <row r="4" spans="1:10" ht="12.75">
      <c r="A4" s="783" t="s">
        <v>63</v>
      </c>
      <c r="B4" s="784"/>
      <c r="C4" s="785" t="s">
        <v>64</v>
      </c>
      <c r="D4" s="40">
        <f>'8 Výsledovka'!D5/'8 Výsledovka'!D$5</f>
        <v>1</v>
      </c>
      <c r="E4" s="41">
        <f>'8 Výsledovka'!E5/'8 Výsledovka'!E$5</f>
        <v>1</v>
      </c>
      <c r="F4" s="41">
        <f>'8 Výsledovka'!F5/'8 Výsledovka'!F$5</f>
        <v>1</v>
      </c>
      <c r="G4" s="41">
        <f>'8 Výsledovka'!G5/'8 Výsledovka'!G$5</f>
        <v>1</v>
      </c>
      <c r="H4" s="42">
        <f>'8 Výsledovka'!H5/'8 Výsledovka'!H$5</f>
        <v>1</v>
      </c>
      <c r="I4" s="30"/>
      <c r="J4" s="30"/>
    </row>
    <row r="5" spans="1:10" ht="12.75">
      <c r="A5" s="236"/>
      <c r="B5" s="2" t="s">
        <v>1</v>
      </c>
      <c r="C5" s="237" t="s">
        <v>65</v>
      </c>
      <c r="D5" s="59">
        <f>'8 Výsledovka'!D6/'8 Výsledovka'!D$5</f>
        <v>0.8437237322351758</v>
      </c>
      <c r="E5" s="60">
        <f>'8 Výsledovka'!E6/'8 Výsledovka'!E$5</f>
        <v>0.865209148070382</v>
      </c>
      <c r="F5" s="60">
        <f>'8 Výsledovka'!F6/'8 Výsledovka'!F$5</f>
        <v>0.8689038871642449</v>
      </c>
      <c r="G5" s="60">
        <f>'8 Výsledovka'!G6/'8 Výsledovka'!G$5</f>
        <v>0.8612341641791991</v>
      </c>
      <c r="H5" s="61">
        <f>'8 Výsledovka'!H6/'8 Výsledovka'!H$5</f>
        <v>0.8620789330000905</v>
      </c>
      <c r="I5" s="30"/>
      <c r="J5" s="30"/>
    </row>
    <row r="6" spans="1:10" s="1" customFormat="1" ht="12.75">
      <c r="A6" s="221" t="s">
        <v>66</v>
      </c>
      <c r="B6" s="8"/>
      <c r="C6" s="226" t="s">
        <v>67</v>
      </c>
      <c r="D6" s="37">
        <f>'8 Výsledovka'!D7/'8 Výsledovka'!D$5</f>
        <v>0.15627626776482423</v>
      </c>
      <c r="E6" s="38">
        <f>'8 Výsledovka'!E7/'8 Výsledovka'!E$5</f>
        <v>0.13479085192961804</v>
      </c>
      <c r="F6" s="38">
        <f>'8 Výsledovka'!F7/'8 Výsledovka'!F$5</f>
        <v>0.13109611283575506</v>
      </c>
      <c r="G6" s="38">
        <f>'8 Výsledovka'!G7/'8 Výsledovka'!G$5</f>
        <v>0.13876583582080093</v>
      </c>
      <c r="H6" s="39">
        <f>'8 Výsledovka'!H7/'8 Výsledovka'!H$5</f>
        <v>0.1379210669999095</v>
      </c>
      <c r="I6" s="73"/>
      <c r="J6" s="73"/>
    </row>
    <row r="7" spans="1:10" ht="12.75">
      <c r="A7" s="236"/>
      <c r="B7" s="2" t="s">
        <v>68</v>
      </c>
      <c r="C7" s="237" t="s">
        <v>69</v>
      </c>
      <c r="D7" s="59">
        <f>'8 Výsledovka'!D8/'8 Výsledovka'!D$5</f>
        <v>0.020473747170896603</v>
      </c>
      <c r="E7" s="60">
        <f>'8 Výsledovka'!E8/'8 Výsledovka'!E$5</f>
        <v>0.016447171082046262</v>
      </c>
      <c r="F7" s="60">
        <f>'8 Výsledovka'!F8/'8 Výsledovka'!F$5</f>
        <v>0.013720655726248596</v>
      </c>
      <c r="G7" s="60">
        <f>'8 Výsledovka'!G8/'8 Výsledovka'!G$5</f>
        <v>0.014687677581949119</v>
      </c>
      <c r="H7" s="61">
        <f>'8 Výsledovka'!H8/'8 Výsledovka'!H$5</f>
        <v>0.015181818801162846</v>
      </c>
      <c r="I7" s="30"/>
      <c r="J7" s="30"/>
    </row>
    <row r="8" spans="1:10" s="1" customFormat="1" ht="12.75">
      <c r="A8" s="221" t="s">
        <v>66</v>
      </c>
      <c r="B8" s="8"/>
      <c r="C8" s="226" t="s">
        <v>70</v>
      </c>
      <c r="D8" s="37">
        <f>'8 Výsledovka'!D9/'8 Výsledovka'!D$5</f>
        <v>0.1358025205939276</v>
      </c>
      <c r="E8" s="38">
        <f>'8 Výsledovka'!E9/'8 Výsledovka'!E$5</f>
        <v>0.11834368084757178</v>
      </c>
      <c r="F8" s="38">
        <f>'8 Výsledovka'!F9/'8 Výsledovka'!F$5</f>
        <v>0.11737545710950646</v>
      </c>
      <c r="G8" s="38">
        <f>'8 Výsledovka'!G9/'8 Výsledovka'!G$5</f>
        <v>0.12407815823885182</v>
      </c>
      <c r="H8" s="39">
        <f>'8 Výsledovka'!H9/'8 Výsledovka'!H$5</f>
        <v>0.12273924819874664</v>
      </c>
      <c r="I8" s="73"/>
      <c r="J8" s="73"/>
    </row>
    <row r="9" spans="1:10" ht="12.75">
      <c r="A9" s="223"/>
      <c r="B9" s="3" t="s">
        <v>19</v>
      </c>
      <c r="C9" s="228" t="s">
        <v>71</v>
      </c>
      <c r="D9" s="74">
        <f>'8 Výsledovka'!D10/'8 Výsledovka'!D$5</f>
        <v>0.07909263064587614</v>
      </c>
      <c r="E9" s="75">
        <f>'8 Výsledovka'!E10/'8 Výsledovka'!E$5</f>
        <v>0.06709264090824198</v>
      </c>
      <c r="F9" s="75">
        <f>'8 Výsledovka'!F10/'8 Výsledovka'!F$5</f>
        <v>0.06718322270255042</v>
      </c>
      <c r="G9" s="75">
        <f>'8 Výsledovka'!G10/'8 Výsledovka'!G$5</f>
        <v>0.06636626930560044</v>
      </c>
      <c r="H9" s="76">
        <f>'8 Výsledovka'!H10/'8 Výsledovka'!H$5</f>
        <v>0.06310883239462801</v>
      </c>
      <c r="I9" s="30"/>
      <c r="J9" s="30"/>
    </row>
    <row r="10" spans="1:10" ht="12.75">
      <c r="A10" s="223"/>
      <c r="B10" s="3" t="s">
        <v>35</v>
      </c>
      <c r="C10" s="228" t="s">
        <v>75</v>
      </c>
      <c r="D10" s="40">
        <f>'8 Výsledovka'!D13/'8 Výsledovka'!D$5</f>
        <v>0.003633200926431502</v>
      </c>
      <c r="E10" s="41">
        <f>'8 Výsledovka'!E13/'8 Výsledovka'!E$5</f>
        <v>0.002448314307867318</v>
      </c>
      <c r="F10" s="41">
        <f>'8 Výsledovka'!F13/'8 Výsledovka'!F$5</f>
        <v>0.0029503968622278227</v>
      </c>
      <c r="G10" s="41">
        <f>'8 Výsledovka'!G13/'8 Výsledovka'!G$5</f>
        <v>0.0036641295553400807</v>
      </c>
      <c r="H10" s="42">
        <f>'8 Výsledovka'!H13/'8 Výsledovka'!H$5</f>
        <v>0.002000040876747846</v>
      </c>
      <c r="I10" s="30"/>
      <c r="J10" s="30"/>
    </row>
    <row r="11" spans="1:10" ht="12.75">
      <c r="A11" s="223"/>
      <c r="B11" s="3" t="s">
        <v>76</v>
      </c>
      <c r="C11" s="228" t="s">
        <v>207</v>
      </c>
      <c r="D11" s="40">
        <f>'8 Výsledovka'!D14/'8 Výsledovka'!D$5</f>
        <v>0.016875280478943412</v>
      </c>
      <c r="E11" s="41">
        <f>'8 Výsledovka'!E14/'8 Výsledovka'!E$5</f>
        <v>0.013071259189667955</v>
      </c>
      <c r="F11" s="41">
        <f>'8 Výsledovka'!F14/'8 Výsledovka'!F$5</f>
        <v>0.019458205804922205</v>
      </c>
      <c r="G11" s="41">
        <f>'8 Výsledovka'!G14/'8 Výsledovka'!G$5</f>
        <v>0.023929332682683633</v>
      </c>
      <c r="H11" s="42">
        <f>'8 Výsledovka'!H14/'8 Výsledovka'!H$5</f>
        <v>0.022079283372214906</v>
      </c>
      <c r="I11" s="30"/>
      <c r="J11" s="30"/>
    </row>
    <row r="12" spans="1:10" ht="12.75">
      <c r="A12" s="223" t="s">
        <v>779</v>
      </c>
      <c r="B12" s="3"/>
      <c r="C12" s="228" t="s">
        <v>780</v>
      </c>
      <c r="D12" s="40">
        <f>('8 Výsledovka'!D15-'8 Výsledovka'!D16)/'8 Výsledovka'!D$5</f>
        <v>0</v>
      </c>
      <c r="E12" s="41">
        <f>('8 Výsledovka'!E15-'8 Výsledovka'!E16)/'8 Výsledovka'!E$5</f>
        <v>0</v>
      </c>
      <c r="F12" s="41">
        <f>('8 Výsledovka'!F15-'8 Výsledovka'!F16)/'8 Výsledovka'!F$5</f>
        <v>0</v>
      </c>
      <c r="G12" s="41">
        <f>('8 Výsledovka'!G15-'8 Výsledovka'!G16)/'8 Výsledovka'!G$5</f>
        <v>0.004602079121538406</v>
      </c>
      <c r="H12" s="42">
        <f>('8 Výsledovka'!H15-'8 Výsledovka'!H16)/'8 Výsledovka'!H$5</f>
        <v>0</v>
      </c>
      <c r="I12" s="30"/>
      <c r="J12" s="30"/>
    </row>
    <row r="13" spans="1:14" ht="12.75">
      <c r="A13" s="236"/>
      <c r="B13" s="2" t="s">
        <v>79</v>
      </c>
      <c r="C13" s="228" t="s">
        <v>398</v>
      </c>
      <c r="D13" s="40">
        <f>'8 Výsledovka'!D17/'8 Výsledovka'!D$5</f>
        <v>-0.0004209789218771492</v>
      </c>
      <c r="E13" s="41">
        <f>'8 Výsledovka'!E17/'8 Výsledovka'!E$5</f>
        <v>0.0021562823654587334</v>
      </c>
      <c r="F13" s="41">
        <f>'8 Výsledovka'!F17/'8 Výsledovka'!F$5</f>
        <v>0.0030595899363295184</v>
      </c>
      <c r="G13" s="41">
        <f>'8 Výsledovka'!G17/'8 Výsledovka'!G$5</f>
        <v>-0.00287194242172663</v>
      </c>
      <c r="H13" s="42">
        <f>'8 Výsledovka'!H17/'8 Výsledovka'!H$5</f>
        <v>0.0005323709778983318</v>
      </c>
      <c r="I13" s="30"/>
      <c r="J13" s="342"/>
      <c r="K13" s="27"/>
      <c r="L13" s="27"/>
      <c r="M13" s="27"/>
      <c r="N13" s="27"/>
    </row>
    <row r="14" spans="1:14" s="1" customFormat="1" ht="13.5" thickBot="1">
      <c r="A14" s="224" t="s">
        <v>81</v>
      </c>
      <c r="B14" s="240"/>
      <c r="C14" s="244" t="s">
        <v>82</v>
      </c>
      <c r="D14" s="65">
        <f>'8 Výsledovka'!D18/'8 Výsledovka'!D$5</f>
        <v>0.036622387464553714</v>
      </c>
      <c r="E14" s="66">
        <f>'8 Výsledovka'!E18/'8 Výsledovka'!E$5</f>
        <v>0.03357518407633579</v>
      </c>
      <c r="F14" s="66">
        <f>'8 Výsledovka'!F18/'8 Výsledovka'!F$5</f>
        <v>0.02472404180347649</v>
      </c>
      <c r="G14" s="66">
        <f>'8 Výsledovka'!G18/'8 Výsledovka'!G$5</f>
        <v>0.03759244823849269</v>
      </c>
      <c r="H14" s="67">
        <f>'8 Výsledovka'!H18/'8 Výsledovka'!H$5</f>
        <v>0.03501872057725754</v>
      </c>
      <c r="I14" s="73"/>
      <c r="J14" s="344"/>
      <c r="K14" s="344"/>
      <c r="L14" s="344"/>
      <c r="M14" s="344"/>
      <c r="N14" s="344"/>
    </row>
    <row r="15" spans="1:10" ht="12.75">
      <c r="A15" s="783" t="s">
        <v>80</v>
      </c>
      <c r="B15" s="784"/>
      <c r="C15" s="785" t="s">
        <v>83</v>
      </c>
      <c r="D15" s="40">
        <f>'8 Výsledovka'!D19/'8 Výsledovka'!D$5</f>
        <v>4.4251414725370304E-05</v>
      </c>
      <c r="E15" s="41">
        <f>'8 Výsledovka'!E19/'8 Výsledovka'!E$5</f>
        <v>3.605123009966439E-05</v>
      </c>
      <c r="F15" s="41">
        <f>'8 Výsledovka'!F19/'8 Výsledovka'!F$5</f>
        <v>3.477799410139014E-05</v>
      </c>
      <c r="G15" s="41">
        <f>'8 Výsledovka'!G19/'8 Výsledovka'!G$5</f>
        <v>3.364154694078454E-05</v>
      </c>
      <c r="H15" s="42">
        <f>'8 Výsledovka'!H19/'8 Výsledovka'!H$5</f>
        <v>3.099820044983888E-05</v>
      </c>
      <c r="I15" s="30"/>
      <c r="J15" s="30"/>
    </row>
    <row r="16" spans="1:10" ht="12.75">
      <c r="A16" s="223" t="s">
        <v>84</v>
      </c>
      <c r="B16" s="3"/>
      <c r="C16" s="228" t="s">
        <v>86</v>
      </c>
      <c r="D16" s="40">
        <f>'8 Výsledovka'!D20/'8 Výsledovka'!D$5</f>
        <v>0.00010072927998710665</v>
      </c>
      <c r="E16" s="41">
        <f>'8 Výsledovka'!E20/'8 Výsledovka'!E$5</f>
        <v>4.907666404441617E-05</v>
      </c>
      <c r="F16" s="41">
        <f>'8 Výsledovka'!F20/'8 Výsledovka'!F$5</f>
        <v>8.190441113103288E-05</v>
      </c>
      <c r="G16" s="41">
        <f>'8 Výsledovka'!G20/'8 Výsledovka'!G$5</f>
        <v>8.448788390295993E-05</v>
      </c>
      <c r="H16" s="42">
        <f>'8 Výsledovka'!H20/'8 Výsledovka'!H$5</f>
        <v>7.27859574649379E-05</v>
      </c>
      <c r="I16" s="30"/>
      <c r="J16" s="30"/>
    </row>
    <row r="17" spans="1:10" ht="12.75">
      <c r="A17" s="236"/>
      <c r="B17" s="2" t="s">
        <v>87</v>
      </c>
      <c r="C17" s="228" t="s">
        <v>88</v>
      </c>
      <c r="D17" s="40">
        <f>'8 Výsledovka'!D21/'8 Výsledovka'!D$5</f>
        <v>0.016024986418914318</v>
      </c>
      <c r="E17" s="41">
        <f>'8 Výsledovka'!E21/'8 Výsledovka'!E$5</f>
        <v>0.013334993463238498</v>
      </c>
      <c r="F17" s="41">
        <f>'8 Výsledovka'!F21/'8 Výsledovka'!F$5</f>
        <v>0.011720784574076035</v>
      </c>
      <c r="G17" s="41">
        <f>'8 Výsledovka'!G21/'8 Výsledovka'!G$5</f>
        <v>0.00826937742541294</v>
      </c>
      <c r="H17" s="42">
        <f>'8 Výsledovka'!H21/'8 Výsledovka'!H$5</f>
        <v>0.005127112086962361</v>
      </c>
      <c r="I17" s="30"/>
      <c r="J17" s="30"/>
    </row>
    <row r="18" spans="1:10" s="1" customFormat="1" ht="13.5" thickBot="1">
      <c r="A18" s="224" t="s">
        <v>81</v>
      </c>
      <c r="B18" s="240"/>
      <c r="C18" s="244" t="s">
        <v>89</v>
      </c>
      <c r="D18" s="65">
        <f>'8 Výsledovka'!D22/'8 Výsledovka'!D$5</f>
        <v>-0.01588000572420184</v>
      </c>
      <c r="E18" s="66">
        <f>'8 Výsledovka'!E22/'8 Výsledovka'!E$5</f>
        <v>-0.013249865569094419</v>
      </c>
      <c r="F18" s="66">
        <f>'8 Výsledovka'!F22/'8 Výsledovka'!F$5</f>
        <v>-0.011604102168843613</v>
      </c>
      <c r="G18" s="66">
        <f>'8 Výsledovka'!G22/'8 Výsledovka'!G$5</f>
        <v>-0.008151247994569196</v>
      </c>
      <c r="H18" s="67">
        <f>'8 Výsledovka'!H22/'8 Výsledovka'!H$5</f>
        <v>-0.005023327929047584</v>
      </c>
      <c r="I18" s="73"/>
      <c r="J18" s="73"/>
    </row>
    <row r="19" spans="1:10" ht="12.75">
      <c r="A19" s="787"/>
      <c r="B19" s="788" t="s">
        <v>399</v>
      </c>
      <c r="C19" s="785" t="s">
        <v>91</v>
      </c>
      <c r="D19" s="40">
        <f>'8 Výsledovka'!D23/'8 Výsledovka'!D$5</f>
        <v>0.00643013833950908</v>
      </c>
      <c r="E19" s="41">
        <f>'8 Výsledovka'!E23/'8 Výsledovka'!E$5</f>
        <v>0.006300848737244826</v>
      </c>
      <c r="F19" s="41">
        <f>'8 Výsledovka'!F23/'8 Výsledovka'!F$5</f>
        <v>0.0036735830976972056</v>
      </c>
      <c r="G19" s="41">
        <f>'8 Výsledovka'!G23/'8 Výsledovka'!G$5</f>
        <v>0.007654712063420109</v>
      </c>
      <c r="H19" s="42">
        <f>'8 Výsledovka'!H23/'8 Výsledovka'!H$5</f>
        <v>0.007198894235570389</v>
      </c>
      <c r="I19" s="30"/>
      <c r="J19" s="30"/>
    </row>
    <row r="20" spans="1:10" s="1" customFormat="1" ht="13.5" thickBot="1">
      <c r="A20" s="224" t="s">
        <v>92</v>
      </c>
      <c r="B20" s="240"/>
      <c r="C20" s="244" t="s">
        <v>93</v>
      </c>
      <c r="D20" s="65">
        <f>'8 Výsledovka'!D24/'8 Výsledovka'!D$5</f>
        <v>0.014312243400842792</v>
      </c>
      <c r="E20" s="66">
        <f>'8 Výsledovka'!E24/'8 Výsledovka'!E$5</f>
        <v>0.014024469769996549</v>
      </c>
      <c r="F20" s="66">
        <f>'8 Výsledovka'!F24/'8 Výsledovka'!F$5</f>
        <v>0.00944635653693567</v>
      </c>
      <c r="G20" s="66">
        <f>'8 Výsledovka'!G24/'8 Výsledovka'!G$5</f>
        <v>0.021786488180503386</v>
      </c>
      <c r="H20" s="67">
        <f>'8 Výsledovka'!H24/'8 Výsledovka'!H$5</f>
        <v>0.022796498412639567</v>
      </c>
      <c r="I20" s="73"/>
      <c r="J20" s="73"/>
    </row>
    <row r="21" spans="1:10" s="1" customFormat="1" ht="13.5" thickBot="1">
      <c r="A21" s="225" t="s">
        <v>81</v>
      </c>
      <c r="B21" s="786"/>
      <c r="C21" s="229" t="s">
        <v>98</v>
      </c>
      <c r="D21" s="44">
        <f>'8 Výsledovka'!D28/'8 Výsledovka'!D$5</f>
        <v>0.0003056612634091512</v>
      </c>
      <c r="E21" s="45">
        <f>'8 Výsledovka'!E28/'8 Výsledovka'!E$5</f>
        <v>-7.696965923947185E-05</v>
      </c>
      <c r="F21" s="45">
        <f>'8 Výsledovka'!F28/'8 Výsledovka'!F$5</f>
        <v>-0.0031698749411722313</v>
      </c>
      <c r="G21" s="45">
        <f>'8 Výsledovka'!G28/'8 Výsledovka'!G$5</f>
        <v>-0.0016213430001288625</v>
      </c>
      <c r="H21" s="46">
        <f>'8 Výsledovka'!H28/'8 Výsledovka'!H$5</f>
        <v>0.000907074499819461</v>
      </c>
      <c r="I21" s="73"/>
      <c r="J21" s="73"/>
    </row>
    <row r="22" spans="1:10" s="1" customFormat="1" ht="12.75">
      <c r="A22" s="789" t="s">
        <v>99</v>
      </c>
      <c r="B22" s="790"/>
      <c r="C22" s="791" t="s">
        <v>396</v>
      </c>
      <c r="D22" s="792">
        <f>'8 Výsledovka'!D29/'8 Výsledovka'!D$5</f>
        <v>0.014617904664251943</v>
      </c>
      <c r="E22" s="793">
        <f>'8 Výsledovka'!E29/'8 Výsledovka'!E$5</f>
        <v>0.013947500110757077</v>
      </c>
      <c r="F22" s="793">
        <f>'8 Výsledovka'!F29/'8 Výsledovka'!F$5</f>
        <v>0.006276481595763439</v>
      </c>
      <c r="G22" s="793">
        <f>'8 Výsledovka'!G29/'8 Výsledovka'!G$5</f>
        <v>0.020165145180374523</v>
      </c>
      <c r="H22" s="794">
        <f>'8 Výsledovka'!H29/'8 Výsledovka'!H$5</f>
        <v>0.023703572912459028</v>
      </c>
      <c r="I22" s="73"/>
      <c r="J22" s="73"/>
    </row>
    <row r="23" spans="1:10" s="1" customFormat="1" ht="13.5" thickBot="1">
      <c r="A23" s="224"/>
      <c r="B23" s="240"/>
      <c r="C23" s="241" t="s">
        <v>397</v>
      </c>
      <c r="D23" s="48">
        <f>'8 Výsledovka'!D30/'8 Výsledovka'!D$5</f>
        <v>0.021077219760722802</v>
      </c>
      <c r="E23" s="49">
        <f>'8 Výsledovka'!E30/'8 Výsledovka'!E$5</f>
        <v>0.020248348848001904</v>
      </c>
      <c r="F23" s="49">
        <f>'8 Výsledovka'!F30/'8 Výsledovka'!F$5</f>
        <v>0.009950064693460645</v>
      </c>
      <c r="G23" s="49">
        <f>'8 Výsledovka'!G30/'8 Výsledovka'!G$5</f>
        <v>0.027873725968880346</v>
      </c>
      <c r="H23" s="50">
        <f>'8 Výsledovka'!H30/'8 Výsledovka'!H$5</f>
        <v>0.031144807867401782</v>
      </c>
      <c r="I23" s="73"/>
      <c r="J23" s="73"/>
    </row>
    <row r="24" spans="1:10" ht="12.75">
      <c r="A24" s="30"/>
      <c r="B24" s="30"/>
      <c r="C24" s="30"/>
      <c r="D24" s="30"/>
      <c r="E24" s="30"/>
      <c r="F24" s="30"/>
      <c r="G24" s="30"/>
      <c r="H24" s="30"/>
      <c r="I24" s="30"/>
      <c r="J24" s="30"/>
    </row>
    <row r="25" spans="1:10" ht="12.75">
      <c r="A25" s="30"/>
      <c r="B25" s="30"/>
      <c r="C25" s="30"/>
      <c r="D25" s="30"/>
      <c r="E25" s="30"/>
      <c r="F25" s="30"/>
      <c r="G25" s="30"/>
      <c r="H25" s="30"/>
      <c r="I25" s="30"/>
      <c r="J25" s="30"/>
    </row>
  </sheetData>
  <sheetProtection/>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D4:H23" unlockedFormula="1"/>
  </ignoredErrors>
</worksheet>
</file>

<file path=xl/worksheets/sheet14.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00390625" defaultRowHeight="12.75"/>
  <cols>
    <col min="1" max="1" width="4.625" style="5" bestFit="1" customWidth="1"/>
    <col min="2" max="2" width="3.00390625" style="5" customWidth="1"/>
    <col min="3" max="3" width="43.75390625" style="5" bestFit="1" customWidth="1"/>
    <col min="4" max="7" width="9.75390625" style="0" bestFit="1" customWidth="1"/>
    <col min="9" max="12" width="9.25390625" style="0" bestFit="1" customWidth="1"/>
  </cols>
  <sheetData>
    <row r="1" spans="1:9" s="5" customFormat="1" ht="21" customHeight="1">
      <c r="A1" s="695" t="s">
        <v>553</v>
      </c>
      <c r="G1" s="1167" t="s">
        <v>672</v>
      </c>
      <c r="I1" s="30"/>
    </row>
    <row r="2" spans="1:9" s="5" customFormat="1" ht="21" customHeight="1" thickBot="1">
      <c r="A2" s="696" t="s">
        <v>563</v>
      </c>
      <c r="I2" s="30"/>
    </row>
    <row r="3" spans="1:7" ht="13.5" thickBot="1">
      <c r="A3" s="669"/>
      <c r="B3" s="697"/>
      <c r="C3" s="670" t="s">
        <v>208</v>
      </c>
      <c r="D3" s="671">
        <f>výchozí_rok+1</f>
        <v>2003</v>
      </c>
      <c r="E3" s="672">
        <f>výchozí_rok+2</f>
        <v>2004</v>
      </c>
      <c r="F3" s="672">
        <f>výchozí_rok+3</f>
        <v>2005</v>
      </c>
      <c r="G3" s="769">
        <f>výchozí_rok+4</f>
        <v>2006</v>
      </c>
    </row>
    <row r="4" spans="1:7" ht="12.75">
      <c r="A4" s="783" t="s">
        <v>63</v>
      </c>
      <c r="B4" s="784"/>
      <c r="C4" s="785" t="s">
        <v>64</v>
      </c>
      <c r="D4" s="40">
        <f>'8 Výsledovka'!E5/'8 Výsledovka'!D5-1</f>
        <v>0.22745921853529905</v>
      </c>
      <c r="E4" s="41">
        <f>'8 Výsledovka'!F5/'8 Výsledovka'!E5-1</f>
        <v>0.036610392035903994</v>
      </c>
      <c r="F4" s="41">
        <f>'8 Výsledovka'!G5/'8 Výsledovka'!F5-1</f>
        <v>0.03378106133484171</v>
      </c>
      <c r="G4" s="42">
        <f>'8 Výsledovka'!H5/'8 Výsledovka'!G5-1</f>
        <v>0.0852741918106863</v>
      </c>
    </row>
    <row r="5" spans="1:7" ht="12.75">
      <c r="A5" s="236"/>
      <c r="B5" s="2" t="s">
        <v>1</v>
      </c>
      <c r="C5" s="237" t="s">
        <v>65</v>
      </c>
      <c r="D5" s="59">
        <f>'8 Výsledovka'!E6/'8 Výsledovka'!D6-1</f>
        <v>0.25871645443302915</v>
      </c>
      <c r="E5" s="60">
        <f>'8 Výsledovka'!F6/'8 Výsledovka'!E6-1</f>
        <v>0.04103707308649329</v>
      </c>
      <c r="F5" s="60">
        <f>'8 Výsledovka'!G6/'8 Výsledovka'!F6-1</f>
        <v>0.024655984919886853</v>
      </c>
      <c r="G5" s="61">
        <f>'8 Výsledovka'!H6/'8 Výsledovka'!G6-1</f>
        <v>0.08633871739210419</v>
      </c>
    </row>
    <row r="6" spans="1:7" s="1" customFormat="1" ht="12.75">
      <c r="A6" s="221" t="s">
        <v>66</v>
      </c>
      <c r="B6" s="8"/>
      <c r="C6" s="226" t="s">
        <v>67</v>
      </c>
      <c r="D6" s="37">
        <f>'8 Výsledovka'!E7/'8 Výsledovka'!D7-1</f>
        <v>0.05870376955903267</v>
      </c>
      <c r="E6" s="38">
        <f>'8 Výsledovka'!F7/'8 Výsledovka'!E7-1</f>
        <v>0.008195964159451785</v>
      </c>
      <c r="F6" s="38">
        <f>'8 Výsledovka'!G7/'8 Výsledovka'!F7-1</f>
        <v>0.09426198785597073</v>
      </c>
      <c r="G6" s="39">
        <f>'8 Výsledovka'!H7/'8 Výsledovka'!G7-1</f>
        <v>0.07866733649981739</v>
      </c>
    </row>
    <row r="7" spans="1:7" ht="12.75">
      <c r="A7" s="236"/>
      <c r="B7" s="2" t="s">
        <v>68</v>
      </c>
      <c r="C7" s="237" t="s">
        <v>69</v>
      </c>
      <c r="D7" s="59">
        <f>'8 Výsledovka'!E8/'8 Výsledovka'!D8-1</f>
        <v>-0.013945439739413645</v>
      </c>
      <c r="E7" s="60">
        <f>'8 Výsledovka'!F8/'8 Výsledovka'!E8-1</f>
        <v>-0.13523278620832047</v>
      </c>
      <c r="F7" s="60">
        <f>'8 Výsledovka'!G8/'8 Výsledovka'!F8-1</f>
        <v>0.10664120011141609</v>
      </c>
      <c r="G7" s="61">
        <f>'8 Výsledovka'!H8/'8 Výsledovka'!G8-1</f>
        <v>0.12178634353313433</v>
      </c>
    </row>
    <row r="8" spans="1:7" s="1" customFormat="1" ht="12.75">
      <c r="A8" s="221" t="s">
        <v>66</v>
      </c>
      <c r="B8" s="8"/>
      <c r="C8" s="226" t="s">
        <v>70</v>
      </c>
      <c r="D8" s="37">
        <f>'8 Výsledovka'!E9/'8 Výsledovka'!D9-1</f>
        <v>0.06965644950073657</v>
      </c>
      <c r="E8" s="38">
        <f>'8 Výsledovka'!F9/'8 Výsledovka'!E9-1</f>
        <v>0.02812940867028524</v>
      </c>
      <c r="F8" s="38">
        <f>'8 Výsledovka'!G9/'8 Výsledovka'!F9-1</f>
        <v>0.09281491439017242</v>
      </c>
      <c r="G8" s="39">
        <f>'8 Výsledovka'!H9/'8 Výsledovka'!G9-1</f>
        <v>0.07356314989720825</v>
      </c>
    </row>
    <row r="9" spans="1:7" ht="12.75">
      <c r="A9" s="223"/>
      <c r="B9" s="3" t="s">
        <v>19</v>
      </c>
      <c r="C9" s="228" t="s">
        <v>71</v>
      </c>
      <c r="D9" s="74">
        <f>'8 Výsledovka'!E10/'8 Výsledovka'!D10-1</f>
        <v>0.04122823967537381</v>
      </c>
      <c r="E9" s="75">
        <f>'8 Výsledovka'!F10/'8 Výsledovka'!E10-1</f>
        <v>0.03800992003239201</v>
      </c>
      <c r="F9" s="75">
        <f>'8 Výsledovka'!G10/'8 Výsledovka'!F10-1</f>
        <v>0.021210200399824464</v>
      </c>
      <c r="G9" s="76">
        <f>'8 Výsledovka'!H10/'8 Výsledovka'!G10-1</f>
        <v>0.03200598421186651</v>
      </c>
    </row>
    <row r="10" spans="1:7" ht="12.75">
      <c r="A10" s="223"/>
      <c r="B10" s="3" t="s">
        <v>35</v>
      </c>
      <c r="C10" s="228" t="s">
        <v>75</v>
      </c>
      <c r="D10" s="40">
        <f>'8 Výsledovka'!E13/'8 Výsledovka'!D13-1</f>
        <v>-0.17284894837476095</v>
      </c>
      <c r="E10" s="41">
        <f>'8 Výsledovka'!F13/'8 Výsledovka'!E13-1</f>
        <v>0.2491909385113269</v>
      </c>
      <c r="F10" s="41">
        <f>'8 Výsledovka'!G13/'8 Výsledovka'!F13-1</f>
        <v>0.28386380458919325</v>
      </c>
      <c r="G10" s="42">
        <f>'8 Výsledovka'!H13/'8 Výsledovka'!G13-1</f>
        <v>-0.4076102623234361</v>
      </c>
    </row>
    <row r="11" spans="1:7" ht="12.75">
      <c r="A11" s="223"/>
      <c r="B11" s="3" t="s">
        <v>76</v>
      </c>
      <c r="C11" s="228" t="s">
        <v>207</v>
      </c>
      <c r="D11" s="40">
        <f>'8 Výsledovka'!E14/'8 Výsledovka'!D14-1</f>
        <v>-0.04923431582413962</v>
      </c>
      <c r="E11" s="41">
        <f>'8 Výsledovka'!F14/'8 Výsledovka'!E14-1</f>
        <v>0.5431243505368895</v>
      </c>
      <c r="F11" s="41">
        <f>'8 Výsledovka'!G14/'8 Výsledovka'!F14-1</f>
        <v>0.271324354657688</v>
      </c>
      <c r="G11" s="42">
        <f>'8 Výsledovka'!H14/'8 Výsledovka'!G14-1</f>
        <v>0.0013683513573161665</v>
      </c>
    </row>
    <row r="12" spans="1:12" ht="12.75">
      <c r="A12" s="236"/>
      <c r="B12" s="2" t="s">
        <v>79</v>
      </c>
      <c r="C12" s="228" t="s">
        <v>398</v>
      </c>
      <c r="D12" s="40">
        <f>'8 Výsledovka'!E17/'8 Výsledovka'!D17</f>
        <v>-6.287128712871287</v>
      </c>
      <c r="E12" s="41">
        <f>'8 Výsledovka'!F17/'8 Výsledovka'!E17</f>
        <v>1.4708661417322835</v>
      </c>
      <c r="F12" s="41">
        <f>'8 Výsledovka'!G17/'8 Výsledovka'!F17</f>
        <v>-0.970378301213419</v>
      </c>
      <c r="G12" s="42">
        <f>'8 Výsledovka'!H17/'8 Výsledovka'!G17</f>
        <v>-0.20117690327326224</v>
      </c>
      <c r="I12" s="27"/>
      <c r="J12" s="27"/>
      <c r="K12" s="27"/>
      <c r="L12" s="27"/>
    </row>
    <row r="13" spans="1:7" s="1" customFormat="1" ht="13.5" thickBot="1">
      <c r="A13" s="224" t="s">
        <v>81</v>
      </c>
      <c r="B13" s="240"/>
      <c r="C13" s="244" t="s">
        <v>82</v>
      </c>
      <c r="D13" s="65">
        <f>'8 Výsledovka'!E18/'8 Výsledovka'!D18-1</f>
        <v>0.1253272127167191</v>
      </c>
      <c r="E13" s="66">
        <f>'8 Výsledovka'!F18/'8 Výsledovka'!E18-1</f>
        <v>-0.23666245259165608</v>
      </c>
      <c r="F13" s="66">
        <f>'8 Výsledovka'!G18/'8 Výsledovka'!F18-1</f>
        <v>0.571844981782047</v>
      </c>
      <c r="G13" s="67">
        <f>'8 Výsledovka'!H18/'8 Výsledovka'!G18-1</f>
        <v>0.010972029052696675</v>
      </c>
    </row>
    <row r="14" spans="1:7" ht="12.75">
      <c r="A14" s="783" t="s">
        <v>80</v>
      </c>
      <c r="B14" s="784"/>
      <c r="C14" s="785" t="s">
        <v>83</v>
      </c>
      <c r="D14" s="40">
        <f>'8 Výsledovka'!E19/'8 Výsledovka'!D19-1</f>
        <v>0</v>
      </c>
      <c r="E14" s="41">
        <f>'8 Výsledovka'!F19/'8 Výsledovka'!E19-1</f>
        <v>0</v>
      </c>
      <c r="F14" s="41">
        <f>'8 Výsledovka'!G19/'8 Výsledovka'!F19-1</f>
        <v>0</v>
      </c>
      <c r="G14" s="42">
        <f>'8 Výsledovka'!H19/'8 Výsledovka'!G19-1</f>
        <v>0</v>
      </c>
    </row>
    <row r="15" spans="1:7" ht="12.75">
      <c r="A15" s="223" t="s">
        <v>84</v>
      </c>
      <c r="B15" s="3"/>
      <c r="C15" s="228" t="s">
        <v>86</v>
      </c>
      <c r="D15" s="40">
        <f>'8 Výsledovka'!E20/'8 Výsledovka'!D20-1</f>
        <v>-0.40196531034482574</v>
      </c>
      <c r="E15" s="41">
        <f>'8 Výsledovka'!F20/'8 Výsledovka'!E20-1</f>
        <v>0.7300068247338407</v>
      </c>
      <c r="F15" s="41">
        <f>'8 Výsledovka'!G20/'8 Výsledovka'!F20-1</f>
        <v>0.06638913686107517</v>
      </c>
      <c r="G15" s="42">
        <f>'8 Výsledovka'!H20/'8 Výsledovka'!G20-1</f>
        <v>-0.06504083764654378</v>
      </c>
    </row>
    <row r="16" spans="1:7" ht="12.75">
      <c r="A16" s="236"/>
      <c r="B16" s="2" t="s">
        <v>87</v>
      </c>
      <c r="C16" s="228" t="s">
        <v>88</v>
      </c>
      <c r="D16" s="40">
        <f>'8 Výsledovka'!E21/'8 Výsledovka'!D21-1</f>
        <v>0.02141494711288372</v>
      </c>
      <c r="E16" s="41">
        <f>'8 Výsledovka'!F21/'8 Výsledovka'!E21-1</f>
        <v>-0.0888719124013242</v>
      </c>
      <c r="F16" s="41">
        <f>'8 Výsledovka'!G21/'8 Výsledovka'!F21-1</f>
        <v>-0.2706353642630892</v>
      </c>
      <c r="G16" s="42">
        <f>'8 Výsledovka'!H21/'8 Výsledovka'!G21-1</f>
        <v>-0.3271171286243454</v>
      </c>
    </row>
    <row r="17" spans="1:7" s="1" customFormat="1" ht="13.5" thickBot="1">
      <c r="A17" s="224" t="s">
        <v>81</v>
      </c>
      <c r="B17" s="240"/>
      <c r="C17" s="244" t="s">
        <v>89</v>
      </c>
      <c r="D17" s="65">
        <f>'8 Výsledovka'!E22/'8 Výsledovka'!D22-1</f>
        <v>0.024160187319821613</v>
      </c>
      <c r="E17" s="66">
        <f>'8 Výsledovka'!F22/'8 Výsledovka'!E22-1</f>
        <v>-0.0921467968303471</v>
      </c>
      <c r="F17" s="66">
        <f>'8 Výsledovka'!G22/'8 Výsledovka'!F22-1</f>
        <v>-0.27382526623608805</v>
      </c>
      <c r="G17" s="67">
        <f>'8 Výsledovka'!H22/'8 Výsledovka'!G22-1</f>
        <v>-0.33118362218529285</v>
      </c>
    </row>
    <row r="18" spans="1:7" ht="12.75">
      <c r="A18" s="787"/>
      <c r="B18" s="788" t="s">
        <v>399</v>
      </c>
      <c r="C18" s="785" t="s">
        <v>91</v>
      </c>
      <c r="D18" s="40">
        <f>'8 Výsledovka'!E23/'8 Výsledovka'!D23-1</f>
        <v>0.20277892306095047</v>
      </c>
      <c r="E18" s="41">
        <f>'8 Výsledovka'!F23/'8 Výsledovka'!E23-1</f>
        <v>-0.3956251651352086</v>
      </c>
      <c r="F18" s="41">
        <f>'8 Výsledovka'!G23/'8 Výsledovka'!F23-1</f>
        <v>1.154108441454754</v>
      </c>
      <c r="G18" s="42">
        <f>'8 Výsledovka'!H23/'8 Výsledovka'!G23-1</f>
        <v>0.02064898832373996</v>
      </c>
    </row>
    <row r="19" spans="1:7" s="1" customFormat="1" ht="13.5" thickBot="1">
      <c r="A19" s="224" t="s">
        <v>92</v>
      </c>
      <c r="B19" s="240"/>
      <c r="C19" s="244" t="s">
        <v>93</v>
      </c>
      <c r="D19" s="65">
        <f>'8 Výsledovka'!E24/'8 Výsledovka'!D24-1</f>
        <v>0.20277892306095047</v>
      </c>
      <c r="E19" s="66">
        <f>'8 Výsledovka'!F24/'8 Výsledovka'!E24-1</f>
        <v>-0.3017781410878808</v>
      </c>
      <c r="F19" s="66">
        <f>'8 Výsledovka'!G24/'8 Výsledovka'!F24-1</f>
        <v>1.3842482322084675</v>
      </c>
      <c r="G19" s="67">
        <f>'8 Výsledovka'!H24/'8 Výsledovka'!G24-1</f>
        <v>0.1355869374592964</v>
      </c>
    </row>
    <row r="20" spans="1:7" s="1" customFormat="1" ht="13.5" thickBot="1">
      <c r="A20" s="225" t="s">
        <v>81</v>
      </c>
      <c r="B20" s="786"/>
      <c r="C20" s="229" t="s">
        <v>98</v>
      </c>
      <c r="D20" s="44">
        <f>'8 Výsledovka'!E28/'8 Výsledovka'!D28-1</f>
        <v>-1.309090909090909</v>
      </c>
      <c r="E20" s="45">
        <f>'8 Výsledovka'!F28/'8 Výsledovka'!E28-1</f>
        <v>41.69117647058823</v>
      </c>
      <c r="F20" s="45">
        <f>'8 Výsledovka'!G28/'8 Výsledovka'!F28-1</f>
        <v>-0.47123665173957974</v>
      </c>
      <c r="G20" s="46">
        <f>'8 Výsledovka'!H28/'8 Výsledovka'!G28-1</f>
        <v>-1.6071661237785015</v>
      </c>
    </row>
    <row r="21" spans="1:7" s="1" customFormat="1" ht="12.75">
      <c r="A21" s="789" t="s">
        <v>99</v>
      </c>
      <c r="B21" s="790"/>
      <c r="C21" s="791" t="s">
        <v>396</v>
      </c>
      <c r="D21" s="792">
        <f>'8 Výsledovka'!E29/'8 Výsledovka'!D29-1</f>
        <v>0.17116563417859565</v>
      </c>
      <c r="E21" s="793">
        <f>'8 Výsledovka'!F29/'8 Výsledovka'!E29-1</f>
        <v>-0.5335174048450098</v>
      </c>
      <c r="F21" s="793">
        <f>'8 Výsledovka'!G29/'8 Výsledovka'!F29-1</f>
        <v>2.32134251785424</v>
      </c>
      <c r="G21" s="794">
        <f>'8 Výsledovka'!H29/'8 Výsledovka'!G29-1</f>
        <v>0.27570992945942496</v>
      </c>
    </row>
    <row r="22" spans="1:7" s="1" customFormat="1" ht="13.5" thickBot="1">
      <c r="A22" s="224"/>
      <c r="B22" s="240"/>
      <c r="C22" s="241" t="s">
        <v>397</v>
      </c>
      <c r="D22" s="48">
        <f>'8 Výsledovka'!E30/'8 Výsledovka'!D30-1</f>
        <v>0.179188846335121</v>
      </c>
      <c r="E22" s="49">
        <f>'8 Výsledovka'!F30/'8 Výsledovka'!E30-1</f>
        <v>-0.4906083187277436</v>
      </c>
      <c r="F22" s="49">
        <f>'8 Výsledovka'!G30/'8 Výsledovka'!F30-1</f>
        <v>1.8959942375453696</v>
      </c>
      <c r="G22" s="50">
        <f>'8 Výsledovka'!H30/'8 Výsledovka'!G30-1</f>
        <v>0.21263501783472916</v>
      </c>
    </row>
    <row r="23" spans="2:7" ht="12.75">
      <c r="B23" s="30"/>
      <c r="C23" s="30"/>
      <c r="D23" s="30"/>
      <c r="E23" s="30"/>
      <c r="F23" s="30"/>
      <c r="G23" s="30"/>
    </row>
  </sheetData>
  <sheetProtection/>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D4:G18" unlockedFormula="1"/>
  </ignoredErrors>
</worksheet>
</file>

<file path=xl/worksheets/sheet15.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00390625" defaultRowHeight="12.75"/>
  <cols>
    <col min="1" max="1" width="34.00390625" style="0" customWidth="1"/>
  </cols>
  <sheetData>
    <row r="1" spans="1:9" s="5" customFormat="1" ht="21" customHeight="1">
      <c r="A1" s="695" t="s">
        <v>553</v>
      </c>
      <c r="F1" s="1167" t="s">
        <v>672</v>
      </c>
      <c r="I1" s="30"/>
    </row>
    <row r="2" spans="1:9" s="5" customFormat="1" ht="21" customHeight="1" thickBot="1">
      <c r="A2" s="696" t="s">
        <v>564</v>
      </c>
      <c r="I2" s="30"/>
    </row>
    <row r="3" spans="1:6" ht="13.5" thickBot="1">
      <c r="A3" s="812" t="s">
        <v>455</v>
      </c>
      <c r="B3" s="671">
        <f>výchozí_rok</f>
        <v>2002</v>
      </c>
      <c r="C3" s="672">
        <f>výchozí_rok+1</f>
        <v>2003</v>
      </c>
      <c r="D3" s="672">
        <f>výchozí_rok+2</f>
        <v>2004</v>
      </c>
      <c r="E3" s="672">
        <f>výchozí_rok+3</f>
        <v>2005</v>
      </c>
      <c r="F3" s="769">
        <f>výchozí_rok+4</f>
        <v>2006</v>
      </c>
    </row>
    <row r="4" spans="1:6" ht="21" customHeight="1">
      <c r="A4" s="816" t="s">
        <v>180</v>
      </c>
      <c r="B4" s="817"/>
      <c r="C4" s="818"/>
      <c r="D4" s="818"/>
      <c r="E4" s="818"/>
      <c r="F4" s="819"/>
    </row>
    <row r="5" spans="1:6" ht="15" customHeight="1">
      <c r="A5" s="100" t="s">
        <v>181</v>
      </c>
      <c r="B5" s="813">
        <f>'7 Rozvaha'!C$21/('7 Rozvaha'!C$38+'7 Rozvaha'!C$45)</f>
        <v>0.04608089595068565</v>
      </c>
      <c r="C5" s="814">
        <f>'7 Rozvaha'!D21/('7 Rozvaha'!D$38+'7 Rozvaha'!D$45)</f>
        <v>0.06385629494189766</v>
      </c>
      <c r="D5" s="814">
        <f>'7 Rozvaha'!E21/('7 Rozvaha'!E$38+'7 Rozvaha'!E$45)</f>
        <v>0.09671878877900673</v>
      </c>
      <c r="E5" s="814">
        <f>'7 Rozvaha'!F21/('7 Rozvaha'!F$38+'7 Rozvaha'!F$45)</f>
        <v>0.1317154253636798</v>
      </c>
      <c r="F5" s="815">
        <f>'7 Rozvaha'!G21/('7 Rozvaha'!G$38+'7 Rozvaha'!G$45)</f>
        <v>0.14505607592514058</v>
      </c>
    </row>
    <row r="6" spans="1:6" ht="15" customHeight="1">
      <c r="A6" s="100" t="s">
        <v>182</v>
      </c>
      <c r="B6" s="813">
        <f>('7 Rozvaha'!C$21+'7 Rozvaha'!C19)/('7 Rozvaha'!C$38+'7 Rozvaha'!C$45)</f>
        <v>0.2811749548304816</v>
      </c>
      <c r="C6" s="814">
        <f>('7 Rozvaha'!D$21+'7 Rozvaha'!D19)/('7 Rozvaha'!D$38+'7 Rozvaha'!D$45)</f>
        <v>0.25380223628612786</v>
      </c>
      <c r="D6" s="814">
        <f>('7 Rozvaha'!E$21+'7 Rozvaha'!E19)/('7 Rozvaha'!E$38+'7 Rozvaha'!E$45)</f>
        <v>0.2941863289411789</v>
      </c>
      <c r="E6" s="814">
        <f>('7 Rozvaha'!F$21+'7 Rozvaha'!F19)/('7 Rozvaha'!F$38+'7 Rozvaha'!F$45)</f>
        <v>0.3388008538269185</v>
      </c>
      <c r="F6" s="815">
        <f>('7 Rozvaha'!G$21+'7 Rozvaha'!G19)/('7 Rozvaha'!G$38+'7 Rozvaha'!G$45)</f>
        <v>0.3942720861760173</v>
      </c>
    </row>
    <row r="7" spans="1:6" ht="15" customHeight="1" thickBot="1">
      <c r="A7" s="168" t="s">
        <v>183</v>
      </c>
      <c r="B7" s="829">
        <f>'7 Rozvaha'!C14/('7 Rozvaha'!C$38+'7 Rozvaha'!C$45)</f>
        <v>0.8590578329259221</v>
      </c>
      <c r="C7" s="830">
        <f>'7 Rozvaha'!D14/('7 Rozvaha'!D$38+'7 Rozvaha'!D$45)</f>
        <v>0.83968739356702</v>
      </c>
      <c r="D7" s="830">
        <f>'7 Rozvaha'!E14/('7 Rozvaha'!E$38+'7 Rozvaha'!E$45)</f>
        <v>0.880232407521918</v>
      </c>
      <c r="E7" s="830">
        <f>'7 Rozvaha'!F14/('7 Rozvaha'!F$38+'7 Rozvaha'!F$45)</f>
        <v>0.9612547756459169</v>
      </c>
      <c r="F7" s="831">
        <f>'7 Rozvaha'!G14/('7 Rozvaha'!G$38+'7 Rozvaha'!G$45)</f>
        <v>1.010791508889802</v>
      </c>
    </row>
    <row r="8" spans="1:6" ht="21" customHeight="1">
      <c r="A8" s="816" t="s">
        <v>187</v>
      </c>
      <c r="B8" s="817"/>
      <c r="C8" s="818"/>
      <c r="D8" s="818"/>
      <c r="E8" s="818"/>
      <c r="F8" s="819"/>
    </row>
    <row r="9" spans="1:6" ht="15" customHeight="1">
      <c r="A9" s="100" t="s">
        <v>199</v>
      </c>
      <c r="B9" s="820">
        <f>'7 Rozvaha'!C27/'7 Rozvaha'!C26</f>
        <v>0.4785543915419901</v>
      </c>
      <c r="C9" s="192">
        <f>'7 Rozvaha'!D27/'7 Rozvaha'!D26</f>
        <v>0.4236259989429854</v>
      </c>
      <c r="D9" s="192">
        <f>'7 Rozvaha'!E27/'7 Rozvaha'!E26</f>
        <v>0.4189994053989522</v>
      </c>
      <c r="E9" s="192">
        <f>'7 Rozvaha'!F27/'7 Rozvaha'!F26</f>
        <v>0.44846381063060586</v>
      </c>
      <c r="F9" s="821">
        <f>'7 Rozvaha'!G27/'7 Rozvaha'!G26</f>
        <v>0.4570375528261679</v>
      </c>
    </row>
    <row r="10" spans="1:6" ht="15" customHeight="1">
      <c r="A10" s="100" t="s">
        <v>189</v>
      </c>
      <c r="B10" s="822">
        <f>('8 Výsledovka'!D30+'8 Výsledovka'!D21)/'8 Výsledovka'!D21</f>
        <v>2.315272238598925</v>
      </c>
      <c r="C10" s="823">
        <f>('8 Výsledovka'!E30+'8 Výsledovka'!E21)/'8 Výsledovka'!E21</f>
        <v>2.5184371033868094</v>
      </c>
      <c r="D10" s="823">
        <f>('8 Výsledovka'!F30+'8 Výsledovka'!F21)/'8 Výsledovka'!F21</f>
        <v>1.8489247994087479</v>
      </c>
      <c r="E10" s="823">
        <f>('8 Výsledovka'!G30+'8 Výsledovka'!G21)/'8 Výsledovka'!G21</f>
        <v>4.370716383463225</v>
      </c>
      <c r="F10" s="824">
        <f>('8 Výsledovka'!H30+'8 Výsledovka'!H21)/'8 Výsledovka'!H21</f>
        <v>7.074532278433963</v>
      </c>
    </row>
    <row r="11" spans="1:6" ht="15" customHeight="1" thickBot="1">
      <c r="A11" s="168" t="s">
        <v>190</v>
      </c>
      <c r="B11" s="124"/>
      <c r="C11" s="826">
        <f>('7 Rozvaha'!D34-'7 Rozvaha'!D35)/'9 Cash flow'!C16</f>
        <v>4.404826266134762</v>
      </c>
      <c r="D11" s="826">
        <f>('7 Rozvaha'!E34-'7 Rozvaha'!E35)/'9 Cash flow'!D16</f>
        <v>7.403103192189171</v>
      </c>
      <c r="E11" s="826">
        <f>('7 Rozvaha'!F34-'7 Rozvaha'!F35)/'9 Cash flow'!E16</f>
        <v>5.0757944304982106</v>
      </c>
      <c r="F11" s="827">
        <f>('7 Rozvaha'!G34-'7 Rozvaha'!G35)/'9 Cash flow'!F16</f>
        <v>4.676004997906129</v>
      </c>
    </row>
    <row r="12" spans="1:6" ht="21" customHeight="1">
      <c r="A12" s="816" t="s">
        <v>177</v>
      </c>
      <c r="B12" s="817"/>
      <c r="C12" s="818"/>
      <c r="D12" s="818"/>
      <c r="E12" s="818"/>
      <c r="F12" s="819"/>
    </row>
    <row r="13" spans="1:6" ht="15" customHeight="1">
      <c r="A13" s="100" t="s">
        <v>209</v>
      </c>
      <c r="B13" s="820">
        <f>('8 Výsledovka'!D30+'8 Výsledovka'!D21)/'7 Rozvaha'!C26</f>
        <v>0.09965694802921143</v>
      </c>
      <c r="C13" s="192">
        <f>('8 Výsledovka'!E30+'8 Výsledovka'!E21)/'7 Rozvaha'!D26</f>
        <v>0.0927201888503371</v>
      </c>
      <c r="D13" s="192">
        <f>('8 Výsledovka'!F30+'8 Výsledovka'!F21)/'7 Rozvaha'!E26</f>
        <v>0.06145830785601468</v>
      </c>
      <c r="E13" s="192">
        <f>('8 Výsledovka'!G30+'8 Výsledovka'!G21)/'7 Rozvaha'!F26</f>
        <v>0.10446618505306766</v>
      </c>
      <c r="F13" s="821">
        <f>('8 Výsledovka'!H30+'8 Výsledovka'!H21)/'7 Rozvaha'!G26</f>
        <v>0.10433720128400718</v>
      </c>
    </row>
    <row r="14" spans="1:6" ht="15" customHeight="1">
      <c r="A14" s="100" t="s">
        <v>178</v>
      </c>
      <c r="B14" s="820">
        <f>'8 Výsledovka'!D29/'7 Rozvaha'!C27</f>
        <v>0.0820468038260284</v>
      </c>
      <c r="C14" s="192">
        <f>'8 Výsledovka'!E29/'7 Rozvaha'!D27</f>
        <v>0.09090005770235862</v>
      </c>
      <c r="D14" s="192">
        <f>'8 Výsledovka'!F29/'7 Rozvaha'!E27</f>
        <v>0.042482250965029576</v>
      </c>
      <c r="E14" s="192">
        <f>'8 Výsledovka'!G29/'7 Rozvaha'!F27</f>
        <v>0.12996435188044955</v>
      </c>
      <c r="F14" s="821">
        <f>'8 Výsledovka'!H29/'7 Rozvaha'!G27</f>
        <v>0.14918685770521148</v>
      </c>
    </row>
    <row r="15" spans="1:6" ht="15" customHeight="1">
      <c r="A15" s="100" t="s">
        <v>179</v>
      </c>
      <c r="B15" s="820">
        <f>'8 Výsledovka'!D29/'8 Výsledovka'!D5</f>
        <v>0.014617904664251943</v>
      </c>
      <c r="C15" s="192">
        <f>'8 Výsledovka'!E29/'8 Výsledovka'!E5</f>
        <v>0.013947500110757077</v>
      </c>
      <c r="D15" s="192">
        <f>'8 Výsledovka'!F29/'8 Výsledovka'!F5</f>
        <v>0.006276481595763439</v>
      </c>
      <c r="E15" s="192">
        <f>'8 Výsledovka'!G29/'8 Výsledovka'!G5</f>
        <v>0.020165145180374523</v>
      </c>
      <c r="F15" s="821">
        <f>'8 Výsledovka'!H29/'8 Výsledovka'!H5</f>
        <v>0.023703572912459028</v>
      </c>
    </row>
    <row r="16" spans="1:6" ht="15" customHeight="1">
      <c r="A16" s="100" t="s">
        <v>195</v>
      </c>
      <c r="B16" s="820">
        <f>'8 Výsledovka'!D18/'8 Výsledovka'!D5</f>
        <v>0.036622387464553714</v>
      </c>
      <c r="C16" s="192">
        <f>'8 Výsledovka'!E18/'8 Výsledovka'!E5</f>
        <v>0.03357518407633579</v>
      </c>
      <c r="D16" s="192">
        <f>'8 Výsledovka'!F18/'8 Výsledovka'!F5</f>
        <v>0.02472404180347649</v>
      </c>
      <c r="E16" s="192">
        <f>'8 Výsledovka'!G18/'8 Výsledovka'!G5</f>
        <v>0.03759244823849269</v>
      </c>
      <c r="F16" s="821">
        <f>'8 Výsledovka'!H18/'8 Výsledovka'!H5</f>
        <v>0.03501872057725754</v>
      </c>
    </row>
    <row r="17" spans="1:6" ht="15" customHeight="1" thickBot="1">
      <c r="A17" s="168" t="s">
        <v>198</v>
      </c>
      <c r="B17" s="124"/>
      <c r="C17" s="832">
        <f>'9 Cash flow'!C16/'8 Výsledovka'!E5</f>
        <v>0.04241155924156587</v>
      </c>
      <c r="D17" s="832">
        <f>'9 Cash flow'!D16/'8 Výsledovka'!F5</f>
        <v>0.02553486407507954</v>
      </c>
      <c r="E17" s="832">
        <f>'9 Cash flow'!E16/'8 Výsledovka'!G5</f>
        <v>0.03576806296402505</v>
      </c>
      <c r="F17" s="833">
        <f>'9 Cash flow'!F16/'8 Výsledovka'!H5</f>
        <v>0.03859925447870029</v>
      </c>
    </row>
    <row r="18" spans="1:6" ht="21" customHeight="1">
      <c r="A18" s="828" t="s">
        <v>184</v>
      </c>
      <c r="B18" s="162"/>
      <c r="C18" s="163"/>
      <c r="D18" s="163"/>
      <c r="E18" s="163"/>
      <c r="F18" s="164"/>
    </row>
    <row r="19" spans="1:6" ht="15" customHeight="1">
      <c r="A19" s="100" t="s">
        <v>185</v>
      </c>
      <c r="B19" s="822">
        <f>'7 Rozvaha'!C15/('8 Výsledovka'!D6/365)</f>
        <v>32.680870649182985</v>
      </c>
      <c r="C19" s="823">
        <f>'7 Rozvaha'!D15/('8 Výsledovka'!E6/365)</f>
        <v>32.86271131449982</v>
      </c>
      <c r="D19" s="823">
        <f>'7 Rozvaha'!E15/('8 Výsledovka'!F6/365)</f>
        <v>31.759013509267987</v>
      </c>
      <c r="E19" s="823">
        <f>'7 Rozvaha'!F15/('8 Výsledovka'!G6/365)</f>
        <v>31.641659614653474</v>
      </c>
      <c r="F19" s="824">
        <f>'7 Rozvaha'!G15/('8 Výsledovka'!H6/365)</f>
        <v>30.136457853523723</v>
      </c>
    </row>
    <row r="20" spans="1:6" ht="15" customHeight="1">
      <c r="A20" s="100" t="s">
        <v>186</v>
      </c>
      <c r="B20" s="822">
        <f>'7 Rozvaha'!C19/('8 Výsledovka'!D5/365)</f>
        <v>11.217490493240023</v>
      </c>
      <c r="C20" s="823">
        <f>'7 Rozvaha'!D19/('8 Výsledovka'!E5/365)</f>
        <v>9.218112771869855</v>
      </c>
      <c r="D20" s="823">
        <f>'7 Rozvaha'!E19/('8 Výsledovka'!F5/365)</f>
        <v>9.298281628592862</v>
      </c>
      <c r="E20" s="823">
        <f>'7 Rozvaha'!F19/('8 Výsledovka'!G5/365)</f>
        <v>9.066148681906235</v>
      </c>
      <c r="F20" s="824">
        <f>'7 Rozvaha'!G19/('8 Výsledovka'!H5/365)</f>
        <v>10.5019129344736</v>
      </c>
    </row>
    <row r="21" spans="1:6" ht="15" customHeight="1" thickBot="1">
      <c r="A21" s="168" t="s">
        <v>188</v>
      </c>
      <c r="B21" s="825">
        <f>'7 Rozvaha'!C39/(('8 Výsledovka'!D6+'8 Výsledovka'!D8)/365)</f>
        <v>24.292178383844554</v>
      </c>
      <c r="C21" s="826">
        <f>'7 Rozvaha'!D39/(('8 Výsledovka'!E6+'8 Výsledovka'!E8)/365)</f>
        <v>27.12924750854557</v>
      </c>
      <c r="D21" s="826">
        <f>'7 Rozvaha'!E39/(('8 Výsledovka'!F6+'8 Výsledovka'!F8)/365)</f>
        <v>27.077125206679817</v>
      </c>
      <c r="E21" s="826">
        <f>'7 Rozvaha'!F39/(('8 Výsledovka'!G6+'8 Výsledovka'!G8)/365)</f>
        <v>30.516450805552555</v>
      </c>
      <c r="F21" s="827">
        <f>'7 Rozvaha'!G39/(('8 Výsledovka'!H6+'8 Výsledovka'!H8)/365)</f>
        <v>29.473998937169878</v>
      </c>
    </row>
  </sheetData>
  <sheetProtection/>
  <hyperlinks>
    <hyperlink ref="F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legacyDrawing r:id="rId2"/>
</worksheet>
</file>

<file path=xl/worksheets/sheet1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9.00390625" defaultRowHeight="12.75"/>
  <cols>
    <col min="1" max="1" width="40.125" style="0" customWidth="1"/>
    <col min="2" max="2" width="10.25390625" style="0" bestFit="1" customWidth="1"/>
  </cols>
  <sheetData>
    <row r="1" spans="1:9" s="5" customFormat="1" ht="21" customHeight="1">
      <c r="A1" s="695" t="s">
        <v>761</v>
      </c>
      <c r="F1" s="1167" t="s">
        <v>672</v>
      </c>
      <c r="I1" s="30"/>
    </row>
    <row r="2" spans="1:9" s="5" customFormat="1" ht="21" customHeight="1" thickBot="1">
      <c r="A2" s="696" t="s">
        <v>760</v>
      </c>
      <c r="I2" s="30"/>
    </row>
    <row r="3" spans="1:6" ht="13.5" thickBot="1">
      <c r="A3" s="812" t="s">
        <v>208</v>
      </c>
      <c r="B3" s="671">
        <f>výchozí_rok</f>
        <v>2002</v>
      </c>
      <c r="C3" s="672">
        <f>výchozí_rok+1</f>
        <v>2003</v>
      </c>
      <c r="D3" s="672">
        <f>výchozí_rok+2</f>
        <v>2004</v>
      </c>
      <c r="E3" s="672">
        <f>výchozí_rok+3</f>
        <v>2005</v>
      </c>
      <c r="F3" s="769">
        <f>výchozí_rok+4</f>
        <v>2006</v>
      </c>
    </row>
    <row r="4" spans="1:6" ht="15" customHeight="1">
      <c r="A4" s="100" t="s">
        <v>4</v>
      </c>
      <c r="B4" s="101">
        <f>'7 Rozvaha'!C6</f>
        <v>648</v>
      </c>
      <c r="C4" s="95">
        <f>'7 Rozvaha'!D6</f>
        <v>992</v>
      </c>
      <c r="D4" s="95">
        <f>'7 Rozvaha'!E6</f>
        <v>1702</v>
      </c>
      <c r="E4" s="95">
        <f>'7 Rozvaha'!F6</f>
        <v>1874</v>
      </c>
      <c r="F4" s="102">
        <f>'7 Rozvaha'!G6</f>
        <v>2164</v>
      </c>
    </row>
    <row r="5" spans="1:6" ht="15" customHeight="1">
      <c r="A5" s="100" t="s">
        <v>6</v>
      </c>
      <c r="B5" s="101">
        <f>'7 Rozvaha'!C7</f>
        <v>370196</v>
      </c>
      <c r="C5" s="95">
        <f>'7 Rozvaha'!D7</f>
        <v>436702</v>
      </c>
      <c r="D5" s="95">
        <f>'7 Rozvaha'!E7</f>
        <v>431678</v>
      </c>
      <c r="E5" s="95">
        <f>'7 Rozvaha'!F7</f>
        <v>416608</v>
      </c>
      <c r="F5" s="102">
        <f>'7 Rozvaha'!G7</f>
        <v>450024</v>
      </c>
    </row>
    <row r="6" spans="1:6" ht="15" customHeight="1" thickBot="1">
      <c r="A6" s="1349" t="s">
        <v>762</v>
      </c>
      <c r="B6" s="1350">
        <f>B4+B5</f>
        <v>370844</v>
      </c>
      <c r="C6" s="172">
        <f>C4+C5</f>
        <v>437694</v>
      </c>
      <c r="D6" s="172">
        <f>D4+D5</f>
        <v>433380</v>
      </c>
      <c r="E6" s="172">
        <f>E4+E5</f>
        <v>418482</v>
      </c>
      <c r="F6" s="1351">
        <f>F4+F5</f>
        <v>452188</v>
      </c>
    </row>
    <row r="7" spans="1:6" ht="15" customHeight="1">
      <c r="A7" s="280" t="s">
        <v>22</v>
      </c>
      <c r="B7" s="1329">
        <f>'7 Rozvaha'!C15</f>
        <v>108746</v>
      </c>
      <c r="C7" s="1327">
        <f>'7 Rozvaha'!D15</f>
        <v>137642</v>
      </c>
      <c r="D7" s="1327">
        <f>'7 Rozvaha'!E15</f>
        <v>138478</v>
      </c>
      <c r="E7" s="1327">
        <f>'7 Rozvaha'!F15</f>
        <v>141368</v>
      </c>
      <c r="F7" s="1328">
        <f>'7 Rozvaha'!G15</f>
        <v>146268</v>
      </c>
    </row>
    <row r="8" spans="1:6" ht="15" customHeight="1">
      <c r="A8" s="99" t="s">
        <v>236</v>
      </c>
      <c r="B8" s="1329">
        <f>'7 Rozvaha'!C19</f>
        <v>44240</v>
      </c>
      <c r="C8" s="1327">
        <f>'7 Rozvaha'!D19</f>
        <v>44624</v>
      </c>
      <c r="D8" s="1327">
        <f>'7 Rozvaha'!E19</f>
        <v>46660</v>
      </c>
      <c r="E8" s="1327">
        <f>'7 Rozvaha'!F19</f>
        <v>47032</v>
      </c>
      <c r="F8" s="1328">
        <f>'7 Rozvaha'!G19</f>
        <v>59126</v>
      </c>
    </row>
    <row r="9" spans="1:6" ht="15" customHeight="1">
      <c r="A9" s="99" t="s">
        <v>764</v>
      </c>
      <c r="B9" s="1329">
        <f>'7 Rozvaha'!C24</f>
        <v>2150</v>
      </c>
      <c r="C9" s="1327">
        <f>'7 Rozvaha'!D24</f>
        <v>3748</v>
      </c>
      <c r="D9" s="1327">
        <f>'7 Rozvaha'!E24</f>
        <v>3202</v>
      </c>
      <c r="E9" s="1327">
        <f>'7 Rozvaha'!F24</f>
        <v>9038</v>
      </c>
      <c r="F9" s="1328">
        <f>'7 Rozvaha'!G24</f>
        <v>13886</v>
      </c>
    </row>
    <row r="10" spans="1:6" ht="15" customHeight="1">
      <c r="A10" s="99" t="s">
        <v>53</v>
      </c>
      <c r="B10" s="1329">
        <f>'7 Rozvaha'!C38</f>
        <v>118534</v>
      </c>
      <c r="C10" s="1327">
        <f>'7 Rozvaha'!D38</f>
        <v>167874</v>
      </c>
      <c r="D10" s="1327">
        <f>'7 Rozvaha'!E38</f>
        <v>179620</v>
      </c>
      <c r="E10" s="1327">
        <f>'7 Rozvaha'!F38</f>
        <v>193110</v>
      </c>
      <c r="F10" s="1328">
        <f>'7 Rozvaha'!G38</f>
        <v>200754</v>
      </c>
    </row>
    <row r="11" spans="1:6" ht="15" customHeight="1">
      <c r="A11" s="99" t="s">
        <v>765</v>
      </c>
      <c r="B11" s="1329">
        <f>'7 Rozvaha'!C46</f>
        <v>30044</v>
      </c>
      <c r="C11" s="1327">
        <f>'7 Rozvaha'!D46</f>
        <v>34970</v>
      </c>
      <c r="D11" s="1327">
        <f>'7 Rozvaha'!E46</f>
        <v>19580</v>
      </c>
      <c r="E11" s="1327">
        <f>'7 Rozvaha'!F46</f>
        <v>13574</v>
      </c>
      <c r="F11" s="1328">
        <f>'7 Rozvaha'!G46</f>
        <v>11916</v>
      </c>
    </row>
    <row r="12" spans="1:6" ht="15" customHeight="1">
      <c r="A12" s="141" t="s">
        <v>763</v>
      </c>
      <c r="B12" s="1352">
        <f>'7 Rozvaha'!C22</f>
        <v>8671.503000000026</v>
      </c>
      <c r="C12" s="912">
        <f>'7 Rozvaha'!D22</f>
        <v>15001.75937070002</v>
      </c>
      <c r="D12" s="912">
        <f>'7 Rozvaha'!E22</f>
        <v>22853.87603816906</v>
      </c>
      <c r="E12" s="912">
        <f>'7 Rozvaha'!F22</f>
        <v>29914.417116046774</v>
      </c>
      <c r="F12" s="1353">
        <f>'7 Rozvaha'!G22</f>
        <v>34414.263901087754</v>
      </c>
    </row>
    <row r="13" spans="1:6" ht="15" customHeight="1">
      <c r="A13" s="204" t="s">
        <v>570</v>
      </c>
      <c r="B13" s="1354">
        <f>B12/B10</f>
        <v>0.07315625052727509</v>
      </c>
      <c r="C13" s="804">
        <f>C12/C10</f>
        <v>0.08936320913721017</v>
      </c>
      <c r="D13" s="804">
        <f>D12/D10</f>
        <v>0.12723458433453436</v>
      </c>
      <c r="E13" s="804">
        <f>E12/E10</f>
        <v>0.1549086899489761</v>
      </c>
      <c r="F13" s="1355">
        <f>F12/F10</f>
        <v>0.1714250470779549</v>
      </c>
    </row>
    <row r="14" spans="1:6" ht="15" customHeight="1">
      <c r="A14" s="204" t="s">
        <v>569</v>
      </c>
      <c r="B14" s="1354">
        <f>IF(B13&gt;0.15,0.15,B13)</f>
        <v>0.07315625052727509</v>
      </c>
      <c r="C14" s="804">
        <f>IF(C13&gt;0.15,0.15,C13)</f>
        <v>0.08936320913721017</v>
      </c>
      <c r="D14" s="804">
        <f>IF(D13&gt;0.15,0.15,D13)</f>
        <v>0.12723458433453436</v>
      </c>
      <c r="E14" s="804">
        <f>IF(E13&gt;0.15,0.15,E13)</f>
        <v>0.15</v>
      </c>
      <c r="F14" s="1355">
        <f>IF(F13&gt;0.15,0.15,F13)</f>
        <v>0.15</v>
      </c>
    </row>
    <row r="15" spans="1:6" ht="15" customHeight="1" thickBot="1">
      <c r="A15" s="94" t="s">
        <v>238</v>
      </c>
      <c r="B15" s="629">
        <f>B14*B10</f>
        <v>8671.503000000026</v>
      </c>
      <c r="C15" s="597">
        <f>C14*C10</f>
        <v>15001.75937070002</v>
      </c>
      <c r="D15" s="597">
        <f>D14*D10</f>
        <v>22853.876038169063</v>
      </c>
      <c r="E15" s="597">
        <f>E14*E10</f>
        <v>28966.5</v>
      </c>
      <c r="F15" s="1058">
        <f>F14*F10</f>
        <v>30113.1</v>
      </c>
    </row>
    <row r="16" spans="1:6" ht="14.25" customHeight="1" thickBot="1">
      <c r="A16" s="1356" t="s">
        <v>766</v>
      </c>
      <c r="B16" s="1357">
        <f>B7+B8+B9-B10-B11+B15</f>
        <v>15229.503000000026</v>
      </c>
      <c r="C16" s="1358">
        <f>C7+C8+C9-C10-C11+C15</f>
        <v>-1828.2406292999804</v>
      </c>
      <c r="D16" s="1358">
        <f>D7+D8+D9-D10-D11+D15</f>
        <v>11993.876038169063</v>
      </c>
      <c r="E16" s="1358">
        <f>E7+E8+E9-E10-E11+E15</f>
        <v>19720.5</v>
      </c>
      <c r="F16" s="1359">
        <f>F7+F8+F9-F10-F11+F15</f>
        <v>36723.1</v>
      </c>
    </row>
    <row r="17" spans="1:6" ht="14.25" customHeight="1" thickBot="1">
      <c r="A17" s="1360" t="s">
        <v>760</v>
      </c>
      <c r="B17" s="1361">
        <f>B6+B16</f>
        <v>386073.503</v>
      </c>
      <c r="C17" s="1362">
        <f>C6+C16</f>
        <v>435865.7593707</v>
      </c>
      <c r="D17" s="1362">
        <f>D6+D16</f>
        <v>445373.8760381691</v>
      </c>
      <c r="E17" s="1362">
        <f>E6+E16</f>
        <v>438202.5</v>
      </c>
      <c r="F17" s="1363">
        <f>F6+F16</f>
        <v>488911.1</v>
      </c>
    </row>
    <row r="18" spans="1:6" ht="14.25" customHeight="1">
      <c r="A18" s="86"/>
      <c r="B18" s="85"/>
      <c r="C18" s="85"/>
      <c r="D18" s="85"/>
      <c r="E18" s="85"/>
      <c r="F18" s="85"/>
    </row>
    <row r="19" spans="1:6" ht="21" customHeight="1" thickBot="1">
      <c r="A19" s="1364" t="s">
        <v>423</v>
      </c>
      <c r="B19" s="31"/>
      <c r="C19" s="31"/>
      <c r="D19" s="31"/>
      <c r="E19" s="31"/>
      <c r="F19" s="31"/>
    </row>
    <row r="20" spans="1:6" ht="15" customHeight="1">
      <c r="A20" s="140" t="s">
        <v>859</v>
      </c>
      <c r="B20" s="336">
        <f>'8 Výsledovka'!D18</f>
        <v>52718</v>
      </c>
      <c r="C20" s="334">
        <f>'8 Výsledovka'!E18</f>
        <v>59325</v>
      </c>
      <c r="D20" s="334">
        <f>'8 Výsledovka'!F18</f>
        <v>45285</v>
      </c>
      <c r="E20" s="334">
        <f>'8 Výsledovka'!G18</f>
        <v>71181</v>
      </c>
      <c r="F20" s="260">
        <f>'8 Výsledovka'!H18</f>
        <v>71962</v>
      </c>
    </row>
    <row r="21" spans="1:6" ht="15" customHeight="1" thickBot="1">
      <c r="A21" s="168" t="s">
        <v>767</v>
      </c>
      <c r="B21" s="1347">
        <f>-('8 Výsledovka'!D15-'8 Výsledovka'!D16)</f>
        <v>0</v>
      </c>
      <c r="C21" s="125">
        <f>-('8 Výsledovka'!E15-'8 Výsledovka'!E16)</f>
        <v>0</v>
      </c>
      <c r="D21" s="125">
        <f>-('8 Výsledovka'!F15-'8 Výsledovka'!F16)</f>
        <v>0</v>
      </c>
      <c r="E21" s="125">
        <f>-('8 Výsledovka'!G15-'8 Výsledovka'!G16)</f>
        <v>-8714</v>
      </c>
      <c r="F21" s="1348">
        <f>-('8 Výsledovka'!H15-'8 Výsledovka'!H16)</f>
        <v>0</v>
      </c>
    </row>
    <row r="22" spans="1:6" ht="15" customHeight="1" thickBot="1">
      <c r="A22" s="1360" t="s">
        <v>423</v>
      </c>
      <c r="B22" s="1361">
        <f>B20+B21</f>
        <v>52718</v>
      </c>
      <c r="C22" s="1362">
        <f>C20+C21</f>
        <v>59325</v>
      </c>
      <c r="D22" s="1362">
        <f>D20+D21</f>
        <v>45285</v>
      </c>
      <c r="E22" s="1362">
        <f>E20+E21</f>
        <v>62467</v>
      </c>
      <c r="F22" s="1363">
        <f>F20+F21</f>
        <v>71962</v>
      </c>
    </row>
  </sheetData>
  <sheetProtection/>
  <hyperlinks>
    <hyperlink ref="F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legacyDrawing r:id="rId2"/>
</worksheet>
</file>

<file path=xl/worksheets/sheet17.xml><?xml version="1.0" encoding="utf-8"?>
<worksheet xmlns="http://schemas.openxmlformats.org/spreadsheetml/2006/main" xmlns:r="http://schemas.openxmlformats.org/officeDocument/2006/relationships">
  <dimension ref="A1:P197"/>
  <sheetViews>
    <sheetView zoomScalePageLayoutView="0" workbookViewId="0" topLeftCell="A1">
      <selection activeCell="A1" sqref="A1"/>
    </sheetView>
  </sheetViews>
  <sheetFormatPr defaultColWidth="9.00390625" defaultRowHeight="12.75"/>
  <cols>
    <col min="1" max="1" width="47.25390625" style="31" customWidth="1"/>
    <col min="2" max="10" width="10.375" style="31" customWidth="1"/>
    <col min="11" max="11" width="9.125" style="31" customWidth="1"/>
    <col min="12" max="12" width="14.375" style="31" bestFit="1" customWidth="1"/>
    <col min="13" max="16384" width="9.125" style="31" customWidth="1"/>
  </cols>
  <sheetData>
    <row r="1" spans="1:10" s="5" customFormat="1" ht="21" customHeight="1">
      <c r="A1" s="695" t="s">
        <v>566</v>
      </c>
      <c r="I1" s="30"/>
      <c r="J1" s="1167" t="s">
        <v>672</v>
      </c>
    </row>
    <row r="2" spans="1:9" s="5" customFormat="1" ht="12.75" customHeight="1">
      <c r="A2" s="695"/>
      <c r="I2" s="30"/>
    </row>
    <row r="3" ht="16.5" thickBot="1">
      <c r="A3" s="834" t="s">
        <v>220</v>
      </c>
    </row>
    <row r="4" spans="1:10" ht="13.5" thickBot="1">
      <c r="A4" s="861"/>
      <c r="B4" s="671">
        <f>výchozí_rok</f>
        <v>2002</v>
      </c>
      <c r="C4" s="672">
        <f>B4+1</f>
        <v>2003</v>
      </c>
      <c r="D4" s="672">
        <f aca="true" t="shared" si="0" ref="D4:J4">C4+1</f>
        <v>2004</v>
      </c>
      <c r="E4" s="672">
        <f t="shared" si="0"/>
        <v>2005</v>
      </c>
      <c r="F4" s="769">
        <f t="shared" si="0"/>
        <v>2006</v>
      </c>
      <c r="G4" s="671">
        <f t="shared" si="0"/>
        <v>2007</v>
      </c>
      <c r="H4" s="672">
        <f t="shared" si="0"/>
        <v>2008</v>
      </c>
      <c r="I4" s="672">
        <f t="shared" si="0"/>
        <v>2009</v>
      </c>
      <c r="J4" s="769">
        <f t="shared" si="0"/>
        <v>2010</v>
      </c>
    </row>
    <row r="5" spans="1:10" ht="12.75">
      <c r="A5" s="140" t="s">
        <v>360</v>
      </c>
      <c r="B5" s="863"/>
      <c r="C5" s="864">
        <f>C7/B7-1</f>
        <v>0.22745921853529905</v>
      </c>
      <c r="D5" s="864">
        <f>D7/C7-1</f>
        <v>0.036610392035903994</v>
      </c>
      <c r="E5" s="864">
        <f>E7/D7-1</f>
        <v>0.03378106133484171</v>
      </c>
      <c r="F5" s="865">
        <f>F7/E7-1</f>
        <v>0.0852741918106863</v>
      </c>
      <c r="G5" s="866">
        <f>'6 Tržby UNIPO'!E16</f>
        <v>0.104</v>
      </c>
      <c r="H5" s="867">
        <f>'6 Tržby UNIPO'!E17</f>
        <v>0.063</v>
      </c>
      <c r="I5" s="867">
        <f>'6 Tržby UNIPO'!E18</f>
        <v>0.052</v>
      </c>
      <c r="J5" s="868">
        <f>'6 Tržby UNIPO'!E19</f>
        <v>0.046</v>
      </c>
    </row>
    <row r="6" spans="1:10" ht="12.75">
      <c r="A6" s="100" t="s">
        <v>361</v>
      </c>
      <c r="B6" s="326"/>
      <c r="C6" s="1499">
        <f>(F7/B7)^(1/4)-1</f>
        <v>0.09306923078086271</v>
      </c>
      <c r="D6" s="1500"/>
      <c r="E6" s="1500"/>
      <c r="F6" s="1501"/>
      <c r="G6" s="1505">
        <f>(J7/F7)^(1/4)-1</f>
        <v>0.06601285182633188</v>
      </c>
      <c r="H6" s="1506"/>
      <c r="I6" s="1506"/>
      <c r="J6" s="1507"/>
    </row>
    <row r="7" spans="1:11" ht="13.5" thickBot="1">
      <c r="A7" s="94" t="s">
        <v>219</v>
      </c>
      <c r="B7" s="332">
        <f>'8 Výsledovka'!D5</f>
        <v>1439502</v>
      </c>
      <c r="C7" s="125">
        <f>'8 Výsledovka'!E5</f>
        <v>1766930</v>
      </c>
      <c r="D7" s="125">
        <f>'8 Výsledovka'!F5</f>
        <v>1831618</v>
      </c>
      <c r="E7" s="125">
        <f>'8 Výsledovka'!G5</f>
        <v>1893492</v>
      </c>
      <c r="F7" s="126">
        <f>'8 Výsledovka'!H5</f>
        <v>2054958</v>
      </c>
      <c r="G7" s="836">
        <f>(1+G5)*F7</f>
        <v>2268673.632</v>
      </c>
      <c r="H7" s="837">
        <f>(1+H5)*G7</f>
        <v>2411600.070816</v>
      </c>
      <c r="I7" s="837">
        <f>(1+I5)*H7</f>
        <v>2537003.274498432</v>
      </c>
      <c r="J7" s="838">
        <f>(1+J5)*I7</f>
        <v>2653705.42512536</v>
      </c>
      <c r="K7" s="1389"/>
    </row>
    <row r="8" ht="24" customHeight="1"/>
    <row r="9" ht="16.5" thickBot="1">
      <c r="A9" s="834" t="s">
        <v>784</v>
      </c>
    </row>
    <row r="10" spans="1:10" ht="13.5" thickBot="1">
      <c r="A10" s="862"/>
      <c r="B10" s="671">
        <f aca="true" t="shared" si="1" ref="B10:J10">B4</f>
        <v>2002</v>
      </c>
      <c r="C10" s="672">
        <f t="shared" si="1"/>
        <v>2003</v>
      </c>
      <c r="D10" s="672">
        <f t="shared" si="1"/>
        <v>2004</v>
      </c>
      <c r="E10" s="672">
        <f t="shared" si="1"/>
        <v>2005</v>
      </c>
      <c r="F10" s="769">
        <f t="shared" si="1"/>
        <v>2006</v>
      </c>
      <c r="G10" s="671">
        <f t="shared" si="1"/>
        <v>2007</v>
      </c>
      <c r="H10" s="672">
        <f t="shared" si="1"/>
        <v>2008</v>
      </c>
      <c r="I10" s="672">
        <f t="shared" si="1"/>
        <v>2009</v>
      </c>
      <c r="J10" s="769">
        <f t="shared" si="1"/>
        <v>2010</v>
      </c>
    </row>
    <row r="11" spans="1:10" ht="12.75">
      <c r="A11" s="140" t="s">
        <v>568</v>
      </c>
      <c r="B11" s="333">
        <f>'8 Výsledovka'!D18-'8 Výsledovka'!D15+'8 Výsledovka'!D16+'8 Výsledovka'!D14</f>
        <v>77010</v>
      </c>
      <c r="C11" s="334">
        <f>'8 Výsledovka'!E18-'8 Výsledovka'!E15+'8 Výsledovka'!E16+'8 Výsledovka'!E14</f>
        <v>82421</v>
      </c>
      <c r="D11" s="334">
        <f>'8 Výsledovka'!F18-'8 Výsledovka'!F15+'8 Výsledovka'!F16+'8 Výsledovka'!F14</f>
        <v>80925</v>
      </c>
      <c r="E11" s="334">
        <f>'8 Výsledovka'!G18-'8 Výsledovka'!G15+'8 Výsledovka'!G16+'8 Výsledovka'!G14</f>
        <v>107777</v>
      </c>
      <c r="F11" s="335">
        <f>'8 Výsledovka'!H18-'8 Výsledovka'!H15+'8 Výsledovka'!H16+'8 Výsledovka'!H14</f>
        <v>117334</v>
      </c>
      <c r="G11" s="839">
        <f>G17*G7</f>
        <v>129541.2643872</v>
      </c>
      <c r="H11" s="840">
        <f>H17*H7</f>
        <v>139872.804107328</v>
      </c>
      <c r="I11" s="840">
        <f>I17*I7</f>
        <v>147146.18992090906</v>
      </c>
      <c r="J11" s="841">
        <f>J17*J7</f>
        <v>153914.91465727089</v>
      </c>
    </row>
    <row r="12" spans="1:10" ht="13.5" thickBot="1">
      <c r="A12" s="94" t="s">
        <v>361</v>
      </c>
      <c r="B12" s="337"/>
      <c r="C12" s="1508">
        <f>(F11/B11)^(1/4)-1</f>
        <v>0.1110131216959993</v>
      </c>
      <c r="D12" s="1509"/>
      <c r="E12" s="1509"/>
      <c r="F12" s="1510"/>
      <c r="G12" s="1494">
        <f>(J11/F11)^(1/4)-1</f>
        <v>0.07019817830449449</v>
      </c>
      <c r="H12" s="1495"/>
      <c r="I12" s="1495"/>
      <c r="J12" s="1496"/>
    </row>
    <row r="13" ht="15.75" customHeight="1"/>
    <row r="14" ht="12.75">
      <c r="A14" s="835"/>
    </row>
    <row r="15" ht="18" customHeight="1" thickBot="1">
      <c r="A15" s="835" t="s">
        <v>745</v>
      </c>
    </row>
    <row r="16" spans="1:10" ht="18" customHeight="1" thickBot="1">
      <c r="A16" s="1383" t="s">
        <v>783</v>
      </c>
      <c r="B16" s="671">
        <f>B10</f>
        <v>2002</v>
      </c>
      <c r="C16" s="672">
        <f aca="true" t="shared" si="2" ref="C16:J16">C10</f>
        <v>2003</v>
      </c>
      <c r="D16" s="672">
        <f t="shared" si="2"/>
        <v>2004</v>
      </c>
      <c r="E16" s="672">
        <f t="shared" si="2"/>
        <v>2005</v>
      </c>
      <c r="F16" s="769">
        <f t="shared" si="2"/>
        <v>2006</v>
      </c>
      <c r="G16" s="671">
        <f t="shared" si="2"/>
        <v>2007</v>
      </c>
      <c r="H16" s="672">
        <f t="shared" si="2"/>
        <v>2008</v>
      </c>
      <c r="I16" s="672">
        <f t="shared" si="2"/>
        <v>2009</v>
      </c>
      <c r="J16" s="769">
        <f t="shared" si="2"/>
        <v>2010</v>
      </c>
    </row>
    <row r="17" spans="1:10" s="86" customFormat="1" ht="13.5" thickBot="1">
      <c r="A17" s="43" t="s">
        <v>791</v>
      </c>
      <c r="B17" s="136">
        <f>B11/'8 Výsledovka'!D$5</f>
        <v>0.053497667943497126</v>
      </c>
      <c r="C17" s="127">
        <f>C11/'8 Výsledovka'!E$5</f>
        <v>0.04664644326600375</v>
      </c>
      <c r="D17" s="127">
        <f>D11/'8 Výsledovka'!F$5</f>
        <v>0.04418224760839869</v>
      </c>
      <c r="E17" s="127">
        <f>E11/'8 Výsledovka'!G$5</f>
        <v>0.056919701799637915</v>
      </c>
      <c r="F17" s="157">
        <f>F11/'8 Výsledovka'!H$5</f>
        <v>0.057098003949472446</v>
      </c>
      <c r="G17" s="842">
        <v>0.0571</v>
      </c>
      <c r="H17" s="843">
        <v>0.058</v>
      </c>
      <c r="I17" s="843">
        <v>0.058</v>
      </c>
      <c r="J17" s="844">
        <v>0.058</v>
      </c>
    </row>
    <row r="18" spans="1:10" s="86" customFormat="1" ht="12.75">
      <c r="A18" s="82"/>
      <c r="B18" s="87"/>
      <c r="C18" s="87"/>
      <c r="D18" s="87"/>
      <c r="E18" s="87"/>
      <c r="F18" s="87"/>
      <c r="G18" s="1339"/>
      <c r="H18" s="1339"/>
      <c r="I18" s="1339"/>
      <c r="J18" s="1339"/>
    </row>
    <row r="19" spans="1:6" s="86" customFormat="1" ht="16.5" customHeight="1" thickBot="1">
      <c r="A19" s="835" t="s">
        <v>785</v>
      </c>
      <c r="B19" s="87"/>
      <c r="C19" s="87"/>
      <c r="D19" s="87"/>
      <c r="E19" s="87"/>
      <c r="F19" s="87"/>
    </row>
    <row r="20" spans="1:10" ht="18" customHeight="1" thickBot="1">
      <c r="A20" s="1383" t="s">
        <v>783</v>
      </c>
      <c r="B20" s="671">
        <f>B10</f>
        <v>2002</v>
      </c>
      <c r="C20" s="672">
        <f aca="true" t="shared" si="3" ref="C20:J20">C10</f>
        <v>2003</v>
      </c>
      <c r="D20" s="672">
        <f t="shared" si="3"/>
        <v>2004</v>
      </c>
      <c r="E20" s="672">
        <f t="shared" si="3"/>
        <v>2005</v>
      </c>
      <c r="F20" s="769">
        <f t="shared" si="3"/>
        <v>2006</v>
      </c>
      <c r="G20" s="671">
        <f t="shared" si="3"/>
        <v>2007</v>
      </c>
      <c r="H20" s="672">
        <f t="shared" si="3"/>
        <v>2008</v>
      </c>
      <c r="I20" s="672">
        <f t="shared" si="3"/>
        <v>2009</v>
      </c>
      <c r="J20" s="769">
        <f t="shared" si="3"/>
        <v>2010</v>
      </c>
    </row>
    <row r="21" spans="1:10" ht="12.75">
      <c r="A21" s="140" t="s">
        <v>67</v>
      </c>
      <c r="B21" s="137">
        <f>'8 Výsledovka'!D7/'8 Výsledovka'!D5</f>
        <v>0.15627626776482423</v>
      </c>
      <c r="C21" s="128">
        <f>'8 Výsledovka'!E7/'8 Výsledovka'!E5</f>
        <v>0.13479085192961804</v>
      </c>
      <c r="D21" s="128">
        <f>'8 Výsledovka'!F7/'8 Výsledovka'!F5</f>
        <v>0.13109611283575506</v>
      </c>
      <c r="E21" s="128">
        <f>'8 Výsledovka'!G7/'8 Výsledovka'!G5</f>
        <v>0.13876583582080093</v>
      </c>
      <c r="F21" s="145">
        <f>'8 Výsledovka'!H7/'8 Výsledovka'!H5</f>
        <v>0.1379210669999095</v>
      </c>
      <c r="G21" s="151">
        <v>0.1379</v>
      </c>
      <c r="H21" s="128">
        <v>0.138</v>
      </c>
      <c r="I21" s="128">
        <v>0.138</v>
      </c>
      <c r="J21" s="129">
        <v>0.138</v>
      </c>
    </row>
    <row r="22" spans="1:10" ht="12.75">
      <c r="A22" s="100" t="s">
        <v>70</v>
      </c>
      <c r="B22" s="138">
        <f>'8 Výsledovka'!D9/'8 Výsledovka'!D5</f>
        <v>0.1358025205939276</v>
      </c>
      <c r="C22" s="116">
        <f>'8 Výsledovka'!E9/'8 Výsledovka'!E5</f>
        <v>0.11834368084757178</v>
      </c>
      <c r="D22" s="116">
        <f>'8 Výsledovka'!F9/'8 Výsledovka'!F5</f>
        <v>0.11737545710950646</v>
      </c>
      <c r="E22" s="116">
        <f>'8 Výsledovka'!G9/'8 Výsledovka'!G5</f>
        <v>0.12407815823885182</v>
      </c>
      <c r="F22" s="146">
        <f>'8 Výsledovka'!H9/'8 Výsledovka'!H5</f>
        <v>0.12273924819874664</v>
      </c>
      <c r="G22" s="152">
        <v>0.1227</v>
      </c>
      <c r="H22" s="116">
        <v>0.1227</v>
      </c>
      <c r="I22" s="116">
        <v>0.123</v>
      </c>
      <c r="J22" s="130">
        <v>0.1235</v>
      </c>
    </row>
    <row r="23" spans="1:10" ht="12.75">
      <c r="A23" s="141" t="s">
        <v>71</v>
      </c>
      <c r="B23" s="117">
        <f>'8 Výsledovka'!D10/'8 Výsledovka'!D$5</f>
        <v>0.07909263064587614</v>
      </c>
      <c r="C23" s="120">
        <f>'8 Výsledovka'!E10/'8 Výsledovka'!E$5</f>
        <v>0.06709264090824198</v>
      </c>
      <c r="D23" s="120">
        <f>'8 Výsledovka'!F10/'8 Výsledovka'!F$5</f>
        <v>0.06718322270255042</v>
      </c>
      <c r="E23" s="120">
        <f>'8 Výsledovka'!G10/'8 Výsledovka'!G$5</f>
        <v>0.06636626930560044</v>
      </c>
      <c r="F23" s="147">
        <f>'8 Výsledovka'!H10/'8 Výsledovka'!H$5</f>
        <v>0.06310883239462801</v>
      </c>
      <c r="G23" s="153">
        <f>G22-G26-G17</f>
        <v>0.06266078349427709</v>
      </c>
      <c r="H23" s="120">
        <f>H22-H26-H17</f>
        <v>0.061760783494277084</v>
      </c>
      <c r="I23" s="120">
        <f>I22-I26-I17</f>
        <v>0.06206078349427708</v>
      </c>
      <c r="J23" s="131">
        <f>J22-J26-J17</f>
        <v>0.06256078349427707</v>
      </c>
    </row>
    <row r="24" spans="1:10" s="88" customFormat="1" ht="12.75">
      <c r="A24" s="142" t="s">
        <v>232</v>
      </c>
      <c r="B24" s="118">
        <f>'8 Výsledovka'!D11/'8 Výsledovka'!D$5</f>
        <v>0.05892315536900956</v>
      </c>
      <c r="C24" s="121">
        <f>'8 Výsledovka'!E11/'8 Výsledovka'!E$5</f>
        <v>0.050022355158382055</v>
      </c>
      <c r="D24" s="121">
        <f>'8 Výsledovka'!F11/'8 Výsledovka'!F$5</f>
        <v>0.050097782397858066</v>
      </c>
      <c r="E24" s="121">
        <f>'8 Výsledovka'!G11/'8 Výsledovka'!G$5</f>
        <v>0.04945782712575495</v>
      </c>
      <c r="F24" s="148">
        <f>'8 Výsledovka'!H11/'8 Výsledovka'!H$5</f>
        <v>0.04695667746007461</v>
      </c>
      <c r="G24" s="154">
        <f>G23/1.35</f>
        <v>0.046415395180945986</v>
      </c>
      <c r="H24" s="121">
        <f>H23/1.35</f>
        <v>0.045748728514279316</v>
      </c>
      <c r="I24" s="121">
        <f>I23/1.35</f>
        <v>0.04597095073650154</v>
      </c>
      <c r="J24" s="132">
        <f>J23/1.35</f>
        <v>0.046341321106871905</v>
      </c>
    </row>
    <row r="25" spans="1:10" s="88" customFormat="1" ht="12.75">
      <c r="A25" s="143" t="s">
        <v>233</v>
      </c>
      <c r="B25" s="119">
        <f>'8 Výsledovka'!D12/'8 Výsledovka'!D$5</f>
        <v>0.020169475276866584</v>
      </c>
      <c r="C25" s="122">
        <f>'8 Výsledovka'!E12/'8 Výsledovka'!E$5</f>
        <v>0.017070285749859925</v>
      </c>
      <c r="D25" s="122">
        <f>'8 Výsledovka'!F12/'8 Výsledovka'!F$5</f>
        <v>0.017085440304692355</v>
      </c>
      <c r="E25" s="122">
        <f>'8 Výsledovka'!G12/'8 Výsledovka'!G$5</f>
        <v>0.016908442179845492</v>
      </c>
      <c r="F25" s="149">
        <f>'8 Výsledovka'!H12/'8 Výsledovka'!H$5</f>
        <v>0.016152154934553405</v>
      </c>
      <c r="G25" s="155">
        <f>G24*0.35</f>
        <v>0.016245388313331093</v>
      </c>
      <c r="H25" s="122">
        <f>H24*0.35</f>
        <v>0.01601205497999776</v>
      </c>
      <c r="I25" s="122">
        <f>I24*0.35</f>
        <v>0.01608983275777554</v>
      </c>
      <c r="J25" s="133">
        <f>J24*0.35</f>
        <v>0.016219462387405167</v>
      </c>
    </row>
    <row r="26" spans="1:10" ht="12.75">
      <c r="A26" s="72" t="s">
        <v>75</v>
      </c>
      <c r="B26" s="138">
        <f>'8 Výsledovka'!D13/'8 Výsledovka'!D$5</f>
        <v>0.003633200926431502</v>
      </c>
      <c r="C26" s="116">
        <f>'8 Výsledovka'!E13/'8 Výsledovka'!E$5</f>
        <v>0.002448314307867318</v>
      </c>
      <c r="D26" s="116">
        <f>'8 Výsledovka'!F13/'8 Výsledovka'!F$5</f>
        <v>0.0029503968622278227</v>
      </c>
      <c r="E26" s="116">
        <f>'8 Výsledovka'!G13/'8 Výsledovka'!G$5</f>
        <v>0.0036641295553400807</v>
      </c>
      <c r="F26" s="146">
        <f>'8 Výsledovka'!H13/'8 Výsledovka'!H$5</f>
        <v>0.002000040876747846</v>
      </c>
      <c r="G26" s="152">
        <f>AVERAGE(B26:F26)</f>
        <v>0.0029392165057229138</v>
      </c>
      <c r="H26" s="116">
        <f>G26</f>
        <v>0.0029392165057229138</v>
      </c>
      <c r="I26" s="116">
        <f>H26</f>
        <v>0.0029392165057229138</v>
      </c>
      <c r="J26" s="130">
        <f>I26</f>
        <v>0.0029392165057229138</v>
      </c>
    </row>
    <row r="27" spans="1:16" ht="13.5" thickBot="1">
      <c r="A27" s="144" t="s">
        <v>408</v>
      </c>
      <c r="B27" s="139">
        <f>'8 Výsledovka'!D17/'8 Výsledovka'!D$5</f>
        <v>-0.0004209789218771492</v>
      </c>
      <c r="C27" s="134">
        <f>'8 Výsledovka'!E17/'8 Výsledovka'!E$5</f>
        <v>0.0021562823654587334</v>
      </c>
      <c r="D27" s="134">
        <f>'8 Výsledovka'!F17/'8 Výsledovka'!F$5</f>
        <v>0.0030595899363295184</v>
      </c>
      <c r="E27" s="134">
        <f>'8 Výsledovka'!G17/'8 Výsledovka'!G$5</f>
        <v>-0.00287194242172663</v>
      </c>
      <c r="F27" s="150">
        <f>'8 Výsledovka'!H17/'8 Výsledovka'!H$5</f>
        <v>0.0005323709778983318</v>
      </c>
      <c r="G27" s="156">
        <v>0</v>
      </c>
      <c r="H27" s="134">
        <v>0</v>
      </c>
      <c r="I27" s="134">
        <v>0</v>
      </c>
      <c r="J27" s="135">
        <v>0</v>
      </c>
      <c r="L27" s="343"/>
      <c r="M27" s="343"/>
      <c r="N27" s="343"/>
      <c r="O27" s="343"/>
      <c r="P27" s="343"/>
    </row>
    <row r="28" spans="1:16" ht="13.5" thickBot="1">
      <c r="A28" s="4"/>
      <c r="B28" s="1291"/>
      <c r="C28" s="1291"/>
      <c r="D28" s="1291"/>
      <c r="E28" s="1291"/>
      <c r="F28" s="1291"/>
      <c r="G28" s="84"/>
      <c r="H28" s="84"/>
      <c r="I28" s="84"/>
      <c r="J28" s="84"/>
      <c r="L28" s="343"/>
      <c r="M28" s="343"/>
      <c r="N28" s="343"/>
      <c r="O28" s="343"/>
      <c r="P28" s="343"/>
    </row>
    <row r="29" spans="1:12" ht="12.75">
      <c r="A29" s="341" t="s">
        <v>748</v>
      </c>
      <c r="B29" s="333">
        <f aca="true" t="shared" si="4" ref="B29:J29">B7*(1-B21)</f>
        <v>1214542</v>
      </c>
      <c r="C29" s="333">
        <f t="shared" si="4"/>
        <v>1528764</v>
      </c>
      <c r="D29" s="333">
        <f t="shared" si="4"/>
        <v>1591500</v>
      </c>
      <c r="E29" s="333">
        <f t="shared" si="4"/>
        <v>1630740</v>
      </c>
      <c r="F29" s="339">
        <f t="shared" si="4"/>
        <v>1771536</v>
      </c>
      <c r="G29" s="336">
        <f t="shared" si="4"/>
        <v>1955823.5381472001</v>
      </c>
      <c r="H29" s="333">
        <f t="shared" si="4"/>
        <v>2078799.261043392</v>
      </c>
      <c r="I29" s="333">
        <f t="shared" si="4"/>
        <v>2186896.822617648</v>
      </c>
      <c r="J29" s="340">
        <f t="shared" si="4"/>
        <v>2287494.07645806</v>
      </c>
      <c r="L29" s="84"/>
    </row>
    <row r="30" spans="1:12" s="1301" customFormat="1" ht="12.75">
      <c r="A30" s="1300" t="s">
        <v>755</v>
      </c>
      <c r="B30" s="138">
        <f aca="true" t="shared" si="5" ref="B30:J30">B29/B7</f>
        <v>0.8437237322351758</v>
      </c>
      <c r="C30" s="1303">
        <f t="shared" si="5"/>
        <v>0.865209148070382</v>
      </c>
      <c r="D30" s="1303">
        <f t="shared" si="5"/>
        <v>0.8689038871642449</v>
      </c>
      <c r="E30" s="1303">
        <f t="shared" si="5"/>
        <v>0.8612341641791991</v>
      </c>
      <c r="F30" s="1304">
        <f t="shared" si="5"/>
        <v>0.8620789330000905</v>
      </c>
      <c r="G30" s="1305">
        <f t="shared" si="5"/>
        <v>0.8621</v>
      </c>
      <c r="H30" s="1303">
        <f t="shared" si="5"/>
        <v>0.862</v>
      </c>
      <c r="I30" s="1303">
        <f t="shared" si="5"/>
        <v>0.862</v>
      </c>
      <c r="J30" s="1306">
        <f t="shared" si="5"/>
        <v>0.862</v>
      </c>
      <c r="L30" s="1302"/>
    </row>
    <row r="31" spans="1:12" ht="12.75">
      <c r="A31" s="167" t="s">
        <v>360</v>
      </c>
      <c r="B31" s="101"/>
      <c r="C31" s="122">
        <f aca="true" t="shared" si="6" ref="C31:J31">C29/B29-1</f>
        <v>0.25871645443302915</v>
      </c>
      <c r="D31" s="122">
        <f t="shared" si="6"/>
        <v>0.04103707308649329</v>
      </c>
      <c r="E31" s="122">
        <f t="shared" si="6"/>
        <v>0.024655984919886853</v>
      </c>
      <c r="F31" s="149">
        <f t="shared" si="6"/>
        <v>0.08633871739210419</v>
      </c>
      <c r="G31" s="155">
        <f t="shared" si="6"/>
        <v>0.10402697893082613</v>
      </c>
      <c r="H31" s="122">
        <f t="shared" si="6"/>
        <v>0.06287669643892801</v>
      </c>
      <c r="I31" s="122">
        <f t="shared" si="6"/>
        <v>0.052000000000000046</v>
      </c>
      <c r="J31" s="133">
        <f t="shared" si="6"/>
        <v>0.04600000000000004</v>
      </c>
      <c r="L31" s="84"/>
    </row>
    <row r="32" spans="1:12" ht="13.5" thickBot="1">
      <c r="A32" s="168" t="s">
        <v>363</v>
      </c>
      <c r="B32" s="1299"/>
      <c r="C32" s="1511">
        <f>(F29/B29)^(1/4)-1</f>
        <v>0.09896626511853102</v>
      </c>
      <c r="D32" s="1503"/>
      <c r="E32" s="1503"/>
      <c r="F32" s="1503"/>
      <c r="G32" s="1502">
        <f>(J29/F29)^(1/4)-1</f>
        <v>0.06598844962875705</v>
      </c>
      <c r="H32" s="1503"/>
      <c r="I32" s="1503"/>
      <c r="J32" s="1504"/>
      <c r="L32" s="84"/>
    </row>
    <row r="33" spans="1:12" ht="13.5" thickBot="1">
      <c r="A33" s="4"/>
      <c r="B33" s="84"/>
      <c r="C33" s="84"/>
      <c r="D33" s="84"/>
      <c r="E33" s="84"/>
      <c r="F33" s="84"/>
      <c r="G33" s="84"/>
      <c r="H33" s="84"/>
      <c r="I33" s="84"/>
      <c r="J33" s="84"/>
      <c r="L33" s="84"/>
    </row>
    <row r="34" spans="1:12" ht="12.75">
      <c r="A34" s="341" t="s">
        <v>362</v>
      </c>
      <c r="B34" s="333">
        <f>'8 Výsledovka'!D8</f>
        <v>29472</v>
      </c>
      <c r="C34" s="333">
        <f>'8 Výsledovka'!E8</f>
        <v>29061</v>
      </c>
      <c r="D34" s="333">
        <f>'8 Výsledovka'!F8</f>
        <v>25131</v>
      </c>
      <c r="E34" s="333">
        <f>'8 Výsledovka'!G8</f>
        <v>27811</v>
      </c>
      <c r="F34" s="339">
        <f>'8 Výsledovka'!H8</f>
        <v>31198</v>
      </c>
      <c r="G34" s="336">
        <f>G7*G21-G7*G22</f>
        <v>34483.83920639998</v>
      </c>
      <c r="H34" s="333">
        <f>H7*H21-H7*H22</f>
        <v>36897.48108348483</v>
      </c>
      <c r="I34" s="333">
        <f>I7*I21-I7*I22</f>
        <v>38055.049117476505</v>
      </c>
      <c r="J34" s="340">
        <f>J7*J21-J7*J22</f>
        <v>38478.72866431775</v>
      </c>
      <c r="L34" s="84"/>
    </row>
    <row r="35" spans="1:12" ht="12.75">
      <c r="A35" s="1300" t="s">
        <v>755</v>
      </c>
      <c r="B35" s="138">
        <f aca="true" t="shared" si="7" ref="B35:J35">B34/B7</f>
        <v>0.020473747170896603</v>
      </c>
      <c r="C35" s="1303">
        <f t="shared" si="7"/>
        <v>0.016447171082046262</v>
      </c>
      <c r="D35" s="1303">
        <f t="shared" si="7"/>
        <v>0.013720655726248596</v>
      </c>
      <c r="E35" s="1303">
        <f t="shared" si="7"/>
        <v>0.014687677581949119</v>
      </c>
      <c r="F35" s="1304">
        <f t="shared" si="7"/>
        <v>0.015181818801162846</v>
      </c>
      <c r="G35" s="1305">
        <f t="shared" si="7"/>
        <v>0.01519999999999999</v>
      </c>
      <c r="H35" s="1303">
        <f t="shared" si="7"/>
        <v>0.015300000000000013</v>
      </c>
      <c r="I35" s="1303">
        <f t="shared" si="7"/>
        <v>0.01500000000000001</v>
      </c>
      <c r="J35" s="1306">
        <f t="shared" si="7"/>
        <v>0.014500000000000011</v>
      </c>
      <c r="L35" s="84"/>
    </row>
    <row r="36" spans="1:12" ht="12.75">
      <c r="A36" s="167" t="s">
        <v>360</v>
      </c>
      <c r="B36" s="101"/>
      <c r="C36" s="122">
        <f>C34/B34-1</f>
        <v>-0.013945439739413645</v>
      </c>
      <c r="D36" s="122">
        <f aca="true" t="shared" si="8" ref="D36:J36">D34/C34-1</f>
        <v>-0.13523278620832047</v>
      </c>
      <c r="E36" s="122">
        <f t="shared" si="8"/>
        <v>0.10664120011141609</v>
      </c>
      <c r="F36" s="149">
        <f t="shared" si="8"/>
        <v>0.12178634353313433</v>
      </c>
      <c r="G36" s="155">
        <f t="shared" si="8"/>
        <v>0.1053221105968325</v>
      </c>
      <c r="H36" s="122">
        <f t="shared" si="8"/>
        <v>0.06999342105263318</v>
      </c>
      <c r="I36" s="122">
        <f t="shared" si="8"/>
        <v>0.03137254901960751</v>
      </c>
      <c r="J36" s="133">
        <f t="shared" si="8"/>
        <v>0.01113333333333344</v>
      </c>
      <c r="L36" s="84"/>
    </row>
    <row r="37" spans="1:12" ht="12.75">
      <c r="A37" s="100" t="s">
        <v>363</v>
      </c>
      <c r="B37" s="98"/>
      <c r="C37" s="1499">
        <f>(F34/B34)^(1/4)-1</f>
        <v>0.014330037043650767</v>
      </c>
      <c r="D37" s="1500"/>
      <c r="E37" s="1500"/>
      <c r="F37" s="1500"/>
      <c r="G37" s="1515">
        <f>(J34/F34)^(1/4)-1</f>
        <v>0.05383711575668415</v>
      </c>
      <c r="H37" s="1500"/>
      <c r="I37" s="1500"/>
      <c r="J37" s="1501"/>
      <c r="L37" s="85"/>
    </row>
    <row r="38" spans="1:12" ht="13.5" thickBot="1">
      <c r="A38" s="94" t="s">
        <v>364</v>
      </c>
      <c r="B38" s="337"/>
      <c r="C38" s="1511">
        <f>'4 Vnější potenciál'!F23-1</f>
        <v>0.04303566387262192</v>
      </c>
      <c r="D38" s="1503"/>
      <c r="E38" s="1503"/>
      <c r="F38" s="1504"/>
      <c r="G38" s="1509">
        <f>'4 Vnější potenciál'!F24-1</f>
        <v>0.021994144415515393</v>
      </c>
      <c r="H38" s="1509"/>
      <c r="I38" s="1509"/>
      <c r="J38" s="1510"/>
      <c r="L38" s="85"/>
    </row>
    <row r="39" spans="3:12" ht="13.5" thickBot="1">
      <c r="C39" s="338"/>
      <c r="D39" s="338"/>
      <c r="E39" s="338"/>
      <c r="F39" s="338"/>
      <c r="G39" s="338"/>
      <c r="H39" s="338"/>
      <c r="I39" s="338"/>
      <c r="J39" s="338"/>
      <c r="L39" s="85"/>
    </row>
    <row r="40" spans="1:12" ht="12.75">
      <c r="A40" s="341" t="s">
        <v>567</v>
      </c>
      <c r="B40" s="333">
        <f>'8 Výsledovka'!D10</f>
        <v>113854</v>
      </c>
      <c r="C40" s="333">
        <f>'8 Výsledovka'!E10</f>
        <v>118548</v>
      </c>
      <c r="D40" s="333">
        <f>'8 Výsledovka'!F10</f>
        <v>123054</v>
      </c>
      <c r="E40" s="333">
        <f>'8 Výsledovka'!G10</f>
        <v>125664</v>
      </c>
      <c r="F40" s="339">
        <f>'8 Výsledovka'!H10</f>
        <v>129686</v>
      </c>
      <c r="G40" s="336">
        <f>G23*G7</f>
        <v>142156.86727392726</v>
      </c>
      <c r="H40" s="333">
        <f>H23*H7</f>
        <v>148942.30984845027</v>
      </c>
      <c r="I40" s="333">
        <f>I23*I7</f>
        <v>157448.41094291917</v>
      </c>
      <c r="J40" s="340">
        <f>J23*J7</f>
        <v>166017.89055885613</v>
      </c>
      <c r="L40" s="85"/>
    </row>
    <row r="41" spans="1:12" ht="12.75">
      <c r="A41" s="167" t="s">
        <v>360</v>
      </c>
      <c r="B41" s="101"/>
      <c r="C41" s="122">
        <f aca="true" t="shared" si="9" ref="C41:J41">C40/B40-1</f>
        <v>0.04122823967537381</v>
      </c>
      <c r="D41" s="122">
        <f t="shared" si="9"/>
        <v>0.03800992003239201</v>
      </c>
      <c r="E41" s="122">
        <f t="shared" si="9"/>
        <v>0.021210200399824464</v>
      </c>
      <c r="F41" s="149">
        <f t="shared" si="9"/>
        <v>0.03200598421186651</v>
      </c>
      <c r="G41" s="155">
        <f t="shared" si="9"/>
        <v>0.09616201651625667</v>
      </c>
      <c r="H41" s="122">
        <f t="shared" si="9"/>
        <v>0.04773207727944584</v>
      </c>
      <c r="I41" s="122">
        <f t="shared" si="9"/>
        <v>0.057110038800418206</v>
      </c>
      <c r="J41" s="133">
        <f t="shared" si="9"/>
        <v>0.05442722199999661</v>
      </c>
      <c r="L41" s="85"/>
    </row>
    <row r="42" spans="1:12" ht="13.5" thickBot="1">
      <c r="A42" s="94" t="s">
        <v>361</v>
      </c>
      <c r="B42" s="337"/>
      <c r="C42" s="1508">
        <f>(F40/B40)^(1/4)-1</f>
        <v>0.03308534422690723</v>
      </c>
      <c r="D42" s="1509"/>
      <c r="E42" s="1509"/>
      <c r="F42" s="1509"/>
      <c r="G42" s="1516">
        <f>(J40/F40)^(1/4)-1</f>
        <v>0.06369091279792438</v>
      </c>
      <c r="H42" s="1509"/>
      <c r="I42" s="1509"/>
      <c r="J42" s="1510"/>
      <c r="L42" s="85"/>
    </row>
    <row r="43" spans="3:12" ht="13.5" thickBot="1">
      <c r="C43" s="338"/>
      <c r="D43" s="338"/>
      <c r="E43" s="338"/>
      <c r="F43" s="338"/>
      <c r="G43" s="338"/>
      <c r="H43" s="338"/>
      <c r="I43" s="338"/>
      <c r="J43" s="338"/>
      <c r="L43" s="85"/>
    </row>
    <row r="44" spans="1:12" ht="12.75">
      <c r="A44" s="908" t="s">
        <v>746</v>
      </c>
      <c r="B44" s="593">
        <f>B7-B29-B34-B40-(B26+B27)*B7</f>
        <v>77010</v>
      </c>
      <c r="C44" s="595">
        <f aca="true" t="shared" si="10" ref="C44:J44">C7-C29-C34-C40-(C26+C27)*C7</f>
        <v>82421</v>
      </c>
      <c r="D44" s="595">
        <f t="shared" si="10"/>
        <v>80925</v>
      </c>
      <c r="E44" s="595">
        <f t="shared" si="10"/>
        <v>107777</v>
      </c>
      <c r="F44" s="1337">
        <f t="shared" si="10"/>
        <v>117334</v>
      </c>
      <c r="G44" s="627">
        <f t="shared" si="10"/>
        <v>129541.26438720009</v>
      </c>
      <c r="H44" s="595">
        <f t="shared" si="10"/>
        <v>139872.80410732806</v>
      </c>
      <c r="I44" s="595">
        <f t="shared" si="10"/>
        <v>147146.18992090924</v>
      </c>
      <c r="J44" s="876">
        <f t="shared" si="10"/>
        <v>153914.91465727106</v>
      </c>
      <c r="L44" s="84"/>
    </row>
    <row r="45" spans="1:12" ht="13.5" thickBot="1">
      <c r="A45" s="1336" t="s">
        <v>747</v>
      </c>
      <c r="B45" s="1295">
        <f aca="true" t="shared" si="11" ref="B45:J45">B44/B7</f>
        <v>0.053497667943497126</v>
      </c>
      <c r="C45" s="1293">
        <f t="shared" si="11"/>
        <v>0.04664644326600375</v>
      </c>
      <c r="D45" s="1293">
        <f t="shared" si="11"/>
        <v>0.04418224760839869</v>
      </c>
      <c r="E45" s="1293">
        <f t="shared" si="11"/>
        <v>0.056919701799637915</v>
      </c>
      <c r="F45" s="1338">
        <f t="shared" si="11"/>
        <v>0.057098003949472446</v>
      </c>
      <c r="G45" s="1292">
        <f t="shared" si="11"/>
        <v>0.05710000000000003</v>
      </c>
      <c r="H45" s="1293">
        <f t="shared" si="11"/>
        <v>0.058000000000000024</v>
      </c>
      <c r="I45" s="1293">
        <f t="shared" si="11"/>
        <v>0.05800000000000007</v>
      </c>
      <c r="J45" s="1294">
        <f t="shared" si="11"/>
        <v>0.058000000000000065</v>
      </c>
      <c r="L45" s="84"/>
    </row>
    <row r="46" spans="2:10" ht="24" customHeight="1">
      <c r="B46" s="85"/>
      <c r="C46" s="85"/>
      <c r="D46" s="85"/>
      <c r="E46" s="85"/>
      <c r="F46" s="85"/>
      <c r="G46" s="85"/>
      <c r="H46" s="85"/>
      <c r="I46" s="85"/>
      <c r="J46" s="85"/>
    </row>
    <row r="47" ht="15.75">
      <c r="A47" s="834" t="s">
        <v>786</v>
      </c>
    </row>
    <row r="48" ht="15.75">
      <c r="A48" s="834"/>
    </row>
    <row r="49" ht="13.5" thickBot="1">
      <c r="A49" s="835" t="s">
        <v>759</v>
      </c>
    </row>
    <row r="50" spans="1:10" ht="13.5" thickBot="1">
      <c r="A50" s="812"/>
      <c r="B50" s="671">
        <f>B4</f>
        <v>2002</v>
      </c>
      <c r="C50" s="672">
        <f aca="true" t="shared" si="12" ref="C50:J50">C4</f>
        <v>2003</v>
      </c>
      <c r="D50" s="672">
        <f t="shared" si="12"/>
        <v>2004</v>
      </c>
      <c r="E50" s="672">
        <f t="shared" si="12"/>
        <v>2005</v>
      </c>
      <c r="F50" s="769">
        <f t="shared" si="12"/>
        <v>2006</v>
      </c>
      <c r="G50" s="671">
        <f t="shared" si="12"/>
        <v>2007</v>
      </c>
      <c r="H50" s="672">
        <f t="shared" si="12"/>
        <v>2008</v>
      </c>
      <c r="I50" s="672">
        <f t="shared" si="12"/>
        <v>2009</v>
      </c>
      <c r="J50" s="769">
        <f t="shared" si="12"/>
        <v>2010</v>
      </c>
    </row>
    <row r="51" spans="1:10" ht="12.75">
      <c r="A51" s="845" t="s">
        <v>223</v>
      </c>
      <c r="B51" s="846">
        <f>'7 Rozvaha'!C15/'16 Generátory'!B$7*365</f>
        <v>27.57362615682368</v>
      </c>
      <c r="C51" s="847">
        <f>'7 Rozvaha'!D15/'16 Generátory'!C$7*365</f>
        <v>28.433118459701287</v>
      </c>
      <c r="D51" s="847">
        <f>'7 Rozvaha'!E15/'16 Generátory'!D$7*365</f>
        <v>27.59553029070472</v>
      </c>
      <c r="E51" s="847">
        <f>'7 Rozvaha'!F15/'16 Generátory'!E$7*365</f>
        <v>27.2508782714688</v>
      </c>
      <c r="F51" s="848">
        <f>'7 Rozvaha'!G15/'16 Generátory'!F$7*365</f>
        <v>25.98000543076793</v>
      </c>
      <c r="G51" s="856">
        <f>G52+G53</f>
        <v>27.5</v>
      </c>
      <c r="H51" s="857">
        <f>H52+H53</f>
        <v>28.5</v>
      </c>
      <c r="I51" s="857">
        <f>I52+I53</f>
        <v>30.5</v>
      </c>
      <c r="J51" s="858">
        <f>J52+J53</f>
        <v>30.5</v>
      </c>
    </row>
    <row r="52" spans="1:10" ht="12.75">
      <c r="A52" s="100" t="s">
        <v>224</v>
      </c>
      <c r="B52" s="165">
        <f>'7 Rozvaha'!C16/'16 Generátory'!B$7*365</f>
        <v>0.5066127035599811</v>
      </c>
      <c r="C52" s="123">
        <f>'7 Rozvaha'!D16/'16 Generátory'!C$7*365</f>
        <v>0.39166237485355954</v>
      </c>
      <c r="D52" s="123">
        <f>'7 Rozvaha'!E16/'16 Generátory'!D$7*365</f>
        <v>0.40612726016014256</v>
      </c>
      <c r="E52" s="123">
        <f>'7 Rozvaha'!F16/'16 Generátory'!E$7*365</f>
        <v>0.4352645799401318</v>
      </c>
      <c r="F52" s="158">
        <f>'7 Rozvaha'!G16/'16 Generátory'!F$7*365</f>
        <v>0.3534622118797562</v>
      </c>
      <c r="G52" s="103">
        <v>0.5</v>
      </c>
      <c r="H52" s="96">
        <f>G52</f>
        <v>0.5</v>
      </c>
      <c r="I52" s="96">
        <f>H52</f>
        <v>0.5</v>
      </c>
      <c r="J52" s="161">
        <f>I52</f>
        <v>0.5</v>
      </c>
    </row>
    <row r="53" spans="1:10" ht="13.5" thickBot="1">
      <c r="A53" s="168" t="s">
        <v>225</v>
      </c>
      <c r="B53" s="166">
        <f>'7 Rozvaha'!C17/'16 Generátory'!B$7*365</f>
        <v>27.067013453263698</v>
      </c>
      <c r="C53" s="159">
        <f>'7 Rozvaha'!D17/'16 Generátory'!C$7*365</f>
        <v>28.041456084847727</v>
      </c>
      <c r="D53" s="159">
        <f>'7 Rozvaha'!E17/'16 Generátory'!D$7*365</f>
        <v>27.18940303054458</v>
      </c>
      <c r="E53" s="159">
        <f>'7 Rozvaha'!F17/'16 Generátory'!E$7*365</f>
        <v>26.815613691528668</v>
      </c>
      <c r="F53" s="160">
        <f>'7 Rozvaha'!G17/'16 Generátory'!F$7*365</f>
        <v>25.62654321888817</v>
      </c>
      <c r="G53" s="825">
        <v>27</v>
      </c>
      <c r="H53" s="826">
        <v>28</v>
      </c>
      <c r="I53" s="826">
        <v>30</v>
      </c>
      <c r="J53" s="827">
        <v>30</v>
      </c>
    </row>
    <row r="54" ht="13.5" thickBot="1"/>
    <row r="55" spans="1:10" ht="13.5" thickBot="1">
      <c r="A55" s="93" t="s">
        <v>226</v>
      </c>
      <c r="B55" s="849">
        <f>'7 Rozvaha'!C20/'16 Generátory'!B$7*365</f>
        <v>11.217490493240023</v>
      </c>
      <c r="C55" s="850">
        <f>'7 Rozvaha'!D20/'16 Generátory'!C$7*365</f>
        <v>9.218112771869853</v>
      </c>
      <c r="D55" s="850">
        <f>'7 Rozvaha'!E20/'16 Generátory'!D$7*365</f>
        <v>9.29828162859286</v>
      </c>
      <c r="E55" s="850">
        <f>'7 Rozvaha'!F20/'16 Generátory'!E$7*365</f>
        <v>9.066148681906235</v>
      </c>
      <c r="F55" s="851">
        <f>'7 Rozvaha'!G20/'16 Generátory'!F$7*365</f>
        <v>10.5019129344736</v>
      </c>
      <c r="G55" s="1413">
        <v>12</v>
      </c>
      <c r="H55" s="1414">
        <f>G55</f>
        <v>12</v>
      </c>
      <c r="I55" s="1414">
        <f>H55</f>
        <v>12</v>
      </c>
      <c r="J55" s="1415">
        <f>I55</f>
        <v>12</v>
      </c>
    </row>
    <row r="56" ht="13.5" thickBot="1"/>
    <row r="57" spans="1:10" ht="12.75">
      <c r="A57" s="852" t="s">
        <v>227</v>
      </c>
      <c r="B57" s="853">
        <f>'7 Rozvaha'!C38/'16 Generátory'!B$7*365</f>
        <v>30.055470572461864</v>
      </c>
      <c r="C57" s="854">
        <f>'7 Rozvaha'!D38/'16 Generátory'!C$7*365</f>
        <v>34.678232867176405</v>
      </c>
      <c r="D57" s="854">
        <f>'7 Rozvaha'!E38/'16 Generátory'!D$7*365</f>
        <v>35.79419944551757</v>
      </c>
      <c r="E57" s="854">
        <f>'7 Rozvaha'!F38/'16 Generátory'!E$7*365</f>
        <v>37.22495262720941</v>
      </c>
      <c r="F57" s="855">
        <f>'7 Rozvaha'!G38/'16 Generátory'!F$7*365</f>
        <v>35.65776526819526</v>
      </c>
      <c r="G57" s="859">
        <f>G58+G59+G60+G61</f>
        <v>39</v>
      </c>
      <c r="H57" s="854">
        <f>H58+H59+H60+H61</f>
        <v>39</v>
      </c>
      <c r="I57" s="854">
        <f>I58+I59+I60+I61</f>
        <v>39.199999999999996</v>
      </c>
      <c r="J57" s="860">
        <f>J58+J59+J60+J61</f>
        <v>39.199999999999996</v>
      </c>
    </row>
    <row r="58" spans="1:10" ht="12.75">
      <c r="A58" s="72" t="s">
        <v>234</v>
      </c>
      <c r="B58" s="165">
        <f>'7 Rozvaha'!C39/'16 Generátory'!B$7*365</f>
        <v>20.993239328601142</v>
      </c>
      <c r="C58" s="123">
        <f>'7 Rozvaha'!D39/'16 Generátory'!C$7*365</f>
        <v>23.91867249975947</v>
      </c>
      <c r="D58" s="123">
        <f>'7 Rozvaha'!E39/'16 Generátory'!D$7*365</f>
        <v>23.898935258334433</v>
      </c>
      <c r="E58" s="123">
        <f>'7 Rozvaha'!F39/'16 Generátory'!E$7*365</f>
        <v>26.73002579361307</v>
      </c>
      <c r="F58" s="169">
        <f>'7 Rozvaha'!G39/'16 Generátory'!F$7*365</f>
        <v>25.85638246621099</v>
      </c>
      <c r="G58" s="171">
        <v>28</v>
      </c>
      <c r="H58" s="123">
        <f>G58</f>
        <v>28</v>
      </c>
      <c r="I58" s="123">
        <f>H58</f>
        <v>28</v>
      </c>
      <c r="J58" s="158">
        <f>I58</f>
        <v>28</v>
      </c>
    </row>
    <row r="59" spans="1:10" ht="12.75">
      <c r="A59" s="72" t="s">
        <v>228</v>
      </c>
      <c r="B59" s="165">
        <f>'7 Rozvaha'!C40/'16 Generátory'!B$7*365</f>
        <v>7.447054606384708</v>
      </c>
      <c r="C59" s="123">
        <f>'7 Rozvaha'!D40/'16 Generátory'!C$7*365</f>
        <v>8.920647677044364</v>
      </c>
      <c r="D59" s="123">
        <f>'7 Rozvaha'!E40/'16 Generátory'!D$7*365</f>
        <v>9.915642890602735</v>
      </c>
      <c r="E59" s="123">
        <f>'7 Rozvaha'!F40/'16 Generátory'!E$7*365</f>
        <v>8.667895084848523</v>
      </c>
      <c r="F59" s="169">
        <f>'7 Rozvaha'!G40/'16 Generátory'!F$7*365</f>
        <v>8.113289906655027</v>
      </c>
      <c r="G59" s="171">
        <v>9</v>
      </c>
      <c r="H59" s="123">
        <f>G59</f>
        <v>9</v>
      </c>
      <c r="I59" s="123">
        <v>9</v>
      </c>
      <c r="J59" s="158">
        <f>I59</f>
        <v>9</v>
      </c>
    </row>
    <row r="60" spans="1:10" ht="12.75">
      <c r="A60" s="72" t="s">
        <v>229</v>
      </c>
      <c r="B60" s="165">
        <f>'7 Rozvaha'!C41/'16 Generátory'!B$7*365</f>
        <v>0.7551014170178298</v>
      </c>
      <c r="C60" s="123">
        <f>'7 Rozvaha'!D41/'16 Generátory'!C$7*365</f>
        <v>0.7630805974203845</v>
      </c>
      <c r="D60" s="123">
        <f>'7 Rozvaha'!E41/'16 Generátory'!D$7*365</f>
        <v>0.7233768176552099</v>
      </c>
      <c r="E60" s="123">
        <f>'7 Rozvaha'!F41/'16 Generátory'!E$7*365</f>
        <v>0.725183945852425</v>
      </c>
      <c r="F60" s="169">
        <f>'7 Rozvaha'!G41/'16 Generátory'!F$7*365</f>
        <v>0.700885370893225</v>
      </c>
      <c r="G60" s="103">
        <v>0.8</v>
      </c>
      <c r="H60" s="123">
        <f>G60</f>
        <v>0.8</v>
      </c>
      <c r="I60" s="123">
        <v>0.9</v>
      </c>
      <c r="J60" s="158">
        <f>I60</f>
        <v>0.9</v>
      </c>
    </row>
    <row r="61" spans="1:10" ht="13.5" thickBot="1">
      <c r="A61" s="144" t="s">
        <v>230</v>
      </c>
      <c r="B61" s="166">
        <f>'7 Rozvaha'!C42/'16 Generátory'!B$7*365</f>
        <v>0.8600752204581862</v>
      </c>
      <c r="C61" s="159">
        <f>'7 Rozvaha'!D42/'16 Generátory'!C$7*365</f>
        <v>1.0758320929521825</v>
      </c>
      <c r="D61" s="159">
        <f>'7 Rozvaha'!E42/'16 Generátory'!D$7*365</f>
        <v>1.2562444789251908</v>
      </c>
      <c r="E61" s="159">
        <f>'7 Rozvaha'!F42/'16 Generátory'!E$7*365</f>
        <v>1.101847802895391</v>
      </c>
      <c r="F61" s="170">
        <f>'7 Rozvaha'!G42/'16 Generátory'!F$7*365</f>
        <v>0.9872075244360224</v>
      </c>
      <c r="G61" s="124">
        <v>1.2</v>
      </c>
      <c r="H61" s="159">
        <f>G61</f>
        <v>1.2</v>
      </c>
      <c r="I61" s="159">
        <v>1.3</v>
      </c>
      <c r="J61" s="160">
        <f>I61</f>
        <v>1.3</v>
      </c>
    </row>
    <row r="62" ht="12.75"/>
    <row r="63" ht="13.5" thickBot="1">
      <c r="A63" s="835" t="s">
        <v>574</v>
      </c>
    </row>
    <row r="64" spans="1:10" ht="12.75">
      <c r="A64" s="869" t="s">
        <v>781</v>
      </c>
      <c r="B64" s="627">
        <f>'7 Rozvaha'!C22</f>
        <v>8671.503000000026</v>
      </c>
      <c r="C64" s="595">
        <f>'7 Rozvaha'!D22</f>
        <v>15001.75937070002</v>
      </c>
      <c r="D64" s="595">
        <f>'7 Rozvaha'!E22</f>
        <v>22853.87603816906</v>
      </c>
      <c r="E64" s="595">
        <f>'7 Rozvaha'!F22</f>
        <v>29914.417116046774</v>
      </c>
      <c r="F64" s="876">
        <f>'7 Rozvaha'!G22</f>
        <v>34414.263901087754</v>
      </c>
      <c r="G64" s="623"/>
      <c r="H64" s="90"/>
      <c r="I64" s="90"/>
      <c r="J64" s="91"/>
    </row>
    <row r="65" spans="1:10" ht="12.75">
      <c r="A65" s="58" t="s">
        <v>782</v>
      </c>
      <c r="B65" s="808">
        <f>B64/B75</f>
        <v>0.07315625052727509</v>
      </c>
      <c r="C65" s="809">
        <f>C64/C75</f>
        <v>0.08936320913721015</v>
      </c>
      <c r="D65" s="809">
        <f>D64/D75</f>
        <v>0.12723458433453436</v>
      </c>
      <c r="E65" s="809">
        <f>E64/E75</f>
        <v>0.1549086899489761</v>
      </c>
      <c r="F65" s="810">
        <f>F64/F75</f>
        <v>0.1714250470779549</v>
      </c>
      <c r="G65" s="870"/>
      <c r="H65" s="330"/>
      <c r="I65" s="330"/>
      <c r="J65" s="871"/>
    </row>
    <row r="66" spans="1:10" ht="12.75">
      <c r="A66" s="34" t="s">
        <v>238</v>
      </c>
      <c r="B66" s="877">
        <f>IF(B65&lt;B67,B64,B75*B$67)</f>
        <v>8671.503000000026</v>
      </c>
      <c r="C66" s="878">
        <f>IF(C65&lt;C67,C64,C75*C$67)</f>
        <v>15001.759370700018</v>
      </c>
      <c r="D66" s="878">
        <f>IF(D65&lt;D67,D64,D75*D$67)</f>
        <v>22853.876038169063</v>
      </c>
      <c r="E66" s="878">
        <f>IF(E65&lt;E67,E64,E75*E$67)</f>
        <v>28966.5</v>
      </c>
      <c r="F66" s="879">
        <f>IF(F65&lt;F67,F64,F75*F$67)</f>
        <v>30113.1</v>
      </c>
      <c r="G66" s="883">
        <f>G75*G$67</f>
        <v>36360.9335539726</v>
      </c>
      <c r="H66" s="884">
        <f>H75*H$67</f>
        <v>38651.672367872874</v>
      </c>
      <c r="I66" s="884">
        <f>I75*I$67</f>
        <v>40870.08014808432</v>
      </c>
      <c r="J66" s="885">
        <f>J75*J$67</f>
        <v>42750.10383489621</v>
      </c>
    </row>
    <row r="67" spans="1:10" ht="13.5" thickBot="1">
      <c r="A67" s="51" t="s">
        <v>569</v>
      </c>
      <c r="B67" s="880">
        <f>IF(B65&gt;0.15,0.15,B65)</f>
        <v>0.07315625052727509</v>
      </c>
      <c r="C67" s="881">
        <f>IF(C65&gt;0.15,0.15,C65)</f>
        <v>0.08936320913721015</v>
      </c>
      <c r="D67" s="881">
        <f>IF(D65&gt;0.15,0.15,D65)</f>
        <v>0.12723458433453436</v>
      </c>
      <c r="E67" s="881">
        <f>IF(E65&gt;0.15,0.15,E65)</f>
        <v>0.15</v>
      </c>
      <c r="F67" s="882">
        <f>IF(F65&gt;0.15,0.15,F65)</f>
        <v>0.15</v>
      </c>
      <c r="G67" s="886">
        <v>0.15</v>
      </c>
      <c r="H67" s="887">
        <v>0.15</v>
      </c>
      <c r="I67" s="887">
        <v>0.15</v>
      </c>
      <c r="J67" s="888">
        <v>0.15</v>
      </c>
    </row>
    <row r="68" ht="12.75">
      <c r="A68" s="4"/>
    </row>
    <row r="69" ht="13.5" thickBot="1">
      <c r="A69" s="835" t="s">
        <v>575</v>
      </c>
    </row>
    <row r="70" spans="1:10" ht="13.5" thickBot="1">
      <c r="A70" s="812" t="s">
        <v>250</v>
      </c>
      <c r="B70" s="671">
        <f>B50</f>
        <v>2002</v>
      </c>
      <c r="C70" s="672">
        <f aca="true" t="shared" si="13" ref="C70:J70">C50</f>
        <v>2003</v>
      </c>
      <c r="D70" s="672">
        <f t="shared" si="13"/>
        <v>2004</v>
      </c>
      <c r="E70" s="672">
        <f t="shared" si="13"/>
        <v>2005</v>
      </c>
      <c r="F70" s="769">
        <f t="shared" si="13"/>
        <v>2006</v>
      </c>
      <c r="G70" s="671">
        <f t="shared" si="13"/>
        <v>2007</v>
      </c>
      <c r="H70" s="672">
        <f t="shared" si="13"/>
        <v>2008</v>
      </c>
      <c r="I70" s="672">
        <f t="shared" si="13"/>
        <v>2009</v>
      </c>
      <c r="J70" s="769">
        <f t="shared" si="13"/>
        <v>2010</v>
      </c>
    </row>
    <row r="71" spans="1:10" ht="12.75">
      <c r="A71" s="58" t="s">
        <v>22</v>
      </c>
      <c r="B71" s="176">
        <f aca="true" t="shared" si="14" ref="B71:J71">B51*B7/365</f>
        <v>108746</v>
      </c>
      <c r="C71" s="177">
        <f t="shared" si="14"/>
        <v>137641.99999999997</v>
      </c>
      <c r="D71" s="177">
        <f t="shared" si="14"/>
        <v>138477.99999999997</v>
      </c>
      <c r="E71" s="177">
        <f t="shared" si="14"/>
        <v>141368</v>
      </c>
      <c r="F71" s="178">
        <f t="shared" si="14"/>
        <v>146268</v>
      </c>
      <c r="G71" s="179">
        <f t="shared" si="14"/>
        <v>170927.46542465754</v>
      </c>
      <c r="H71" s="177">
        <f t="shared" si="14"/>
        <v>188303.01922809862</v>
      </c>
      <c r="I71" s="177">
        <f t="shared" si="14"/>
        <v>211996.1640334306</v>
      </c>
      <c r="J71" s="180">
        <f t="shared" si="14"/>
        <v>221747.98757896843</v>
      </c>
    </row>
    <row r="72" spans="1:10" ht="12.75">
      <c r="A72" s="72" t="s">
        <v>236</v>
      </c>
      <c r="B72" s="97">
        <f aca="true" t="shared" si="15" ref="B72:J72">B55*B7/365</f>
        <v>44240</v>
      </c>
      <c r="C72" s="95">
        <f t="shared" si="15"/>
        <v>44624</v>
      </c>
      <c r="D72" s="95">
        <f t="shared" si="15"/>
        <v>46660</v>
      </c>
      <c r="E72" s="95">
        <f t="shared" si="15"/>
        <v>47032</v>
      </c>
      <c r="F72" s="174">
        <f t="shared" si="15"/>
        <v>59126</v>
      </c>
      <c r="G72" s="101">
        <f t="shared" si="15"/>
        <v>74586.5303671233</v>
      </c>
      <c r="H72" s="95">
        <f t="shared" si="15"/>
        <v>79285.48178025206</v>
      </c>
      <c r="I72" s="95">
        <f t="shared" si="15"/>
        <v>83408.32683282516</v>
      </c>
      <c r="J72" s="102">
        <f t="shared" si="15"/>
        <v>87245.10986713512</v>
      </c>
    </row>
    <row r="73" spans="1:10" ht="12.75">
      <c r="A73" s="72" t="s">
        <v>237</v>
      </c>
      <c r="B73" s="97">
        <f>B66</f>
        <v>8671.503000000026</v>
      </c>
      <c r="C73" s="95">
        <f>C66</f>
        <v>15001.759370700018</v>
      </c>
      <c r="D73" s="95">
        <f>D66</f>
        <v>22853.876038169063</v>
      </c>
      <c r="E73" s="95">
        <f>E66</f>
        <v>28966.5</v>
      </c>
      <c r="F73" s="174">
        <f>F66</f>
        <v>30113.1</v>
      </c>
      <c r="G73" s="101">
        <f>G67*G75</f>
        <v>36360.9335539726</v>
      </c>
      <c r="H73" s="95">
        <f>H67*H75</f>
        <v>38651.672367872874</v>
      </c>
      <c r="I73" s="95">
        <f>I67*I75</f>
        <v>40870.08014808432</v>
      </c>
      <c r="J73" s="102">
        <f>J67*J75</f>
        <v>42750.10383489621</v>
      </c>
    </row>
    <row r="74" spans="1:10" ht="12.75">
      <c r="A74" s="99" t="s">
        <v>764</v>
      </c>
      <c r="B74" s="97">
        <f>'7 Rozvaha'!C24</f>
        <v>2150</v>
      </c>
      <c r="C74" s="95">
        <f>'7 Rozvaha'!D24</f>
        <v>3748</v>
      </c>
      <c r="D74" s="95">
        <f>'7 Rozvaha'!E24</f>
        <v>3202</v>
      </c>
      <c r="E74" s="95">
        <f>'7 Rozvaha'!F24</f>
        <v>9038</v>
      </c>
      <c r="F74" s="174">
        <f>'7 Rozvaha'!G24</f>
        <v>13886</v>
      </c>
      <c r="G74" s="101">
        <f>$F$74</f>
        <v>13886</v>
      </c>
      <c r="H74" s="95">
        <f>$F$74</f>
        <v>13886</v>
      </c>
      <c r="I74" s="95">
        <f>$F$74</f>
        <v>13886</v>
      </c>
      <c r="J74" s="102">
        <f>$F$74</f>
        <v>13886</v>
      </c>
    </row>
    <row r="75" spans="1:10" ht="12.75">
      <c r="A75" s="72" t="s">
        <v>53</v>
      </c>
      <c r="B75" s="97">
        <f aca="true" t="shared" si="16" ref="B75:J75">B57*B7/365</f>
        <v>118534</v>
      </c>
      <c r="C75" s="95">
        <f t="shared" si="16"/>
        <v>167874.00000000003</v>
      </c>
      <c r="D75" s="95">
        <f t="shared" si="16"/>
        <v>179620</v>
      </c>
      <c r="E75" s="95">
        <f t="shared" si="16"/>
        <v>193110</v>
      </c>
      <c r="F75" s="174">
        <f t="shared" si="16"/>
        <v>200754</v>
      </c>
      <c r="G75" s="101">
        <f t="shared" si="16"/>
        <v>242406.22369315068</v>
      </c>
      <c r="H75" s="95">
        <f t="shared" si="16"/>
        <v>257677.81578581917</v>
      </c>
      <c r="I75" s="95">
        <f t="shared" si="16"/>
        <v>272467.20098722883</v>
      </c>
      <c r="J75" s="102">
        <f t="shared" si="16"/>
        <v>285000.6922326414</v>
      </c>
    </row>
    <row r="76" spans="1:10" ht="12.75">
      <c r="A76" s="99" t="s">
        <v>765</v>
      </c>
      <c r="B76" s="1365">
        <f>'7 Rozvaha'!C46</f>
        <v>30044</v>
      </c>
      <c r="C76" s="912">
        <f>'7 Rozvaha'!D46</f>
        <v>34970</v>
      </c>
      <c r="D76" s="912">
        <f>'7 Rozvaha'!E46</f>
        <v>19580</v>
      </c>
      <c r="E76" s="912">
        <f>'7 Rozvaha'!F46</f>
        <v>13574</v>
      </c>
      <c r="F76" s="1366">
        <f>'7 Rozvaha'!G46</f>
        <v>11916</v>
      </c>
      <c r="G76" s="1352">
        <f>$F$76</f>
        <v>11916</v>
      </c>
      <c r="H76" s="912">
        <f>$F$76</f>
        <v>11916</v>
      </c>
      <c r="I76" s="912">
        <f>$F$76</f>
        <v>11916</v>
      </c>
      <c r="J76" s="1353">
        <f>$F$76</f>
        <v>11916</v>
      </c>
    </row>
    <row r="77" spans="1:11" s="86" customFormat="1" ht="13.5" thickBot="1">
      <c r="A77" s="64" t="s">
        <v>235</v>
      </c>
      <c r="B77" s="173">
        <f>SUM(B71:B74)-SUM(B75:B76)</f>
        <v>15229.503000000026</v>
      </c>
      <c r="C77" s="172">
        <f aca="true" t="shared" si="17" ref="C77:J77">SUM(C71:C74)-SUM(C75:C76)</f>
        <v>-1828.2406293000386</v>
      </c>
      <c r="D77" s="172">
        <f t="shared" si="17"/>
        <v>11993.876038169023</v>
      </c>
      <c r="E77" s="172">
        <f t="shared" si="17"/>
        <v>19720.5</v>
      </c>
      <c r="F77" s="175">
        <f t="shared" si="17"/>
        <v>36723.100000000006</v>
      </c>
      <c r="G77" s="872">
        <f t="shared" si="17"/>
        <v>41438.705652602715</v>
      </c>
      <c r="H77" s="873">
        <f t="shared" si="17"/>
        <v>50532.35759040434</v>
      </c>
      <c r="I77" s="873">
        <f t="shared" si="17"/>
        <v>65777.37002711126</v>
      </c>
      <c r="J77" s="874">
        <f t="shared" si="17"/>
        <v>68712.50904835842</v>
      </c>
      <c r="K77" s="186"/>
    </row>
    <row r="78" spans="1:10" ht="13.5" thickBot="1">
      <c r="A78" s="875" t="s">
        <v>258</v>
      </c>
      <c r="B78" s="1521">
        <f>(F77-B77)/C87</f>
        <v>0.03492304405188995</v>
      </c>
      <c r="C78" s="1522"/>
      <c r="D78" s="1522"/>
      <c r="E78" s="1522"/>
      <c r="F78" s="1523"/>
      <c r="G78" s="1521">
        <f>(J77-F77)/C112</f>
        <v>0.053427217731518054</v>
      </c>
      <c r="H78" s="1522"/>
      <c r="I78" s="1522"/>
      <c r="J78" s="1523"/>
    </row>
    <row r="79" spans="6:10" ht="24" customHeight="1">
      <c r="F79" s="183"/>
      <c r="G79" s="183"/>
      <c r="H79" s="183"/>
      <c r="I79" s="183"/>
      <c r="J79" s="183"/>
    </row>
    <row r="80" ht="15.75">
      <c r="A80" s="834" t="s">
        <v>787</v>
      </c>
    </row>
    <row r="81" ht="15.75">
      <c r="A81" s="834"/>
    </row>
    <row r="82" spans="1:6" ht="12.75">
      <c r="A82" s="1434" t="s">
        <v>866</v>
      </c>
      <c r="B82" s="982"/>
      <c r="C82" s="982"/>
      <c r="D82" s="982"/>
      <c r="E82" s="982"/>
      <c r="F82" s="326"/>
    </row>
    <row r="83" spans="1:6" ht="12.75">
      <c r="A83" s="1072" t="s">
        <v>867</v>
      </c>
      <c r="B83" s="330"/>
      <c r="C83" s="330"/>
      <c r="D83" s="330"/>
      <c r="E83" s="330"/>
      <c r="F83" s="863"/>
    </row>
    <row r="84" ht="12.75"/>
    <row r="85" ht="12.75">
      <c r="A85" s="835" t="s">
        <v>571</v>
      </c>
    </row>
    <row r="86" ht="9" customHeight="1">
      <c r="A86" s="835"/>
    </row>
    <row r="87" spans="1:3" s="83" customFormat="1" ht="12.75">
      <c r="A87" s="891" t="s">
        <v>733</v>
      </c>
      <c r="B87" s="891"/>
      <c r="C87" s="892">
        <f>F7-B7</f>
        <v>615456</v>
      </c>
    </row>
    <row r="88" spans="1:3" s="83" customFormat="1" ht="13.5" thickBot="1">
      <c r="A88" s="891"/>
      <c r="B88" s="891"/>
      <c r="C88" s="892"/>
    </row>
    <row r="89" spans="1:6" ht="13.5" thickBot="1">
      <c r="A89" s="812"/>
      <c r="B89" s="671">
        <f>B4</f>
        <v>2002</v>
      </c>
      <c r="C89" s="672">
        <f>C4</f>
        <v>2003</v>
      </c>
      <c r="D89" s="672">
        <f>D4</f>
        <v>2004</v>
      </c>
      <c r="E89" s="672">
        <f>E4</f>
        <v>2005</v>
      </c>
      <c r="F89" s="769">
        <f>F4</f>
        <v>2006</v>
      </c>
    </row>
    <row r="90" spans="1:6" ht="12.75">
      <c r="A90" s="104" t="s">
        <v>240</v>
      </c>
      <c r="B90" s="90"/>
      <c r="C90" s="90"/>
      <c r="D90" s="90"/>
      <c r="E90" s="90"/>
      <c r="F90" s="91"/>
    </row>
    <row r="91" spans="1:6" ht="12.75">
      <c r="A91" s="99" t="s">
        <v>242</v>
      </c>
      <c r="B91" s="101">
        <f>'7 Rozvaha'!C6</f>
        <v>648</v>
      </c>
      <c r="C91" s="95">
        <f>'7 Rozvaha'!D6</f>
        <v>992</v>
      </c>
      <c r="D91" s="95">
        <f>'7 Rozvaha'!E6</f>
        <v>1702</v>
      </c>
      <c r="E91" s="95">
        <f>'7 Rozvaha'!F6</f>
        <v>1874</v>
      </c>
      <c r="F91" s="102">
        <f>'7 Rozvaha'!G6</f>
        <v>2164</v>
      </c>
    </row>
    <row r="92" spans="1:6" ht="12.75">
      <c r="A92" s="100" t="s">
        <v>222</v>
      </c>
      <c r="B92" s="103"/>
      <c r="C92" s="95">
        <f>B91/C91*D92</f>
        <v>398.68943436499467</v>
      </c>
      <c r="D92" s="95">
        <f>C91/D91*E92</f>
        <v>610.3393810032018</v>
      </c>
      <c r="E92" s="95">
        <f>D91/E91*F92</f>
        <v>1047.1750266808965</v>
      </c>
      <c r="F92" s="102">
        <v>1153</v>
      </c>
    </row>
    <row r="93" spans="1:9" ht="15.75">
      <c r="A93" s="100" t="s">
        <v>231</v>
      </c>
      <c r="B93" s="103"/>
      <c r="C93" s="95">
        <f>'7 Rozvaha'!D6-'7 Rozvaha'!C6</f>
        <v>344</v>
      </c>
      <c r="D93" s="95">
        <f>'7 Rozvaha'!E6-'7 Rozvaha'!D6</f>
        <v>710</v>
      </c>
      <c r="E93" s="95">
        <f>'7 Rozvaha'!F6-'7 Rozvaha'!E6</f>
        <v>172</v>
      </c>
      <c r="F93" s="102">
        <f>'7 Rozvaha'!G6-'7 Rozvaha'!F6</f>
        <v>290</v>
      </c>
      <c r="I93" s="1384"/>
    </row>
    <row r="94" spans="1:6" ht="12.75">
      <c r="A94" s="100" t="s">
        <v>239</v>
      </c>
      <c r="B94" s="103"/>
      <c r="C94" s="95">
        <f>C93+C92</f>
        <v>742.6894343649947</v>
      </c>
      <c r="D94" s="95">
        <f>D93+D92</f>
        <v>1320.3393810032017</v>
      </c>
      <c r="E94" s="95">
        <f>E93+E92</f>
        <v>1219.1750266808965</v>
      </c>
      <c r="F94" s="102">
        <f>F93+F92</f>
        <v>1443</v>
      </c>
    </row>
    <row r="95" spans="1:7" ht="13.5" thickBot="1">
      <c r="A95" s="890" t="s">
        <v>734</v>
      </c>
      <c r="B95" s="1518">
        <f>SUM(C93:F93)/$C$87</f>
        <v>0.002463214267145011</v>
      </c>
      <c r="C95" s="1519"/>
      <c r="D95" s="1519"/>
      <c r="E95" s="1519"/>
      <c r="F95" s="1520"/>
      <c r="G95" s="85"/>
    </row>
    <row r="96" spans="1:6" ht="12.75">
      <c r="A96" s="104" t="s">
        <v>10</v>
      </c>
      <c r="B96" s="90"/>
      <c r="C96" s="90"/>
      <c r="D96" s="90"/>
      <c r="E96" s="90"/>
      <c r="F96" s="91"/>
    </row>
    <row r="97" spans="1:6" s="83" customFormat="1" ht="12.75">
      <c r="A97" s="99" t="s">
        <v>242</v>
      </c>
      <c r="B97" s="101">
        <f>'7 Rozvaha'!C9</f>
        <v>317466</v>
      </c>
      <c r="C97" s="95">
        <f>'7 Rozvaha'!D9</f>
        <v>352702</v>
      </c>
      <c r="D97" s="95">
        <f>'7 Rozvaha'!E9</f>
        <v>336494</v>
      </c>
      <c r="E97" s="95">
        <f>'7 Rozvaha'!F9</f>
        <v>329438</v>
      </c>
      <c r="F97" s="102">
        <f>'7 Rozvaha'!G9</f>
        <v>351000</v>
      </c>
    </row>
    <row r="98" spans="1:6" ht="12.75">
      <c r="A98" s="100" t="s">
        <v>222</v>
      </c>
      <c r="B98" s="103"/>
      <c r="C98" s="95">
        <v>15989</v>
      </c>
      <c r="D98" s="95">
        <v>16208</v>
      </c>
      <c r="E98" s="95">
        <v>15907</v>
      </c>
      <c r="F98" s="102">
        <v>16500</v>
      </c>
    </row>
    <row r="99" spans="1:6" ht="12.75">
      <c r="A99" s="100" t="s">
        <v>231</v>
      </c>
      <c r="B99" s="103"/>
      <c r="C99" s="95">
        <f>'7 Rozvaha'!D9-'7 Rozvaha'!C9</f>
        <v>35236</v>
      </c>
      <c r="D99" s="95">
        <f>'7 Rozvaha'!E9-'7 Rozvaha'!D9</f>
        <v>-16208</v>
      </c>
      <c r="E99" s="95">
        <f>'7 Rozvaha'!F9-'7 Rozvaha'!E9</f>
        <v>-7056</v>
      </c>
      <c r="F99" s="102">
        <f>'7 Rozvaha'!G9-'7 Rozvaha'!F9</f>
        <v>21562</v>
      </c>
    </row>
    <row r="100" spans="1:6" ht="12.75">
      <c r="A100" s="100" t="s">
        <v>239</v>
      </c>
      <c r="B100" s="103"/>
      <c r="C100" s="95">
        <f>C99+C98</f>
        <v>51225</v>
      </c>
      <c r="D100" s="95">
        <f>D99+D98</f>
        <v>0</v>
      </c>
      <c r="E100" s="95">
        <f>E99+E98</f>
        <v>8851</v>
      </c>
      <c r="F100" s="102">
        <f>F99+F98</f>
        <v>38062</v>
      </c>
    </row>
    <row r="101" spans="1:7" ht="13.5" thickBot="1">
      <c r="A101" s="890" t="s">
        <v>734</v>
      </c>
      <c r="B101" s="1518">
        <f>SUM(C99:F99)/$C$87</f>
        <v>0.054486429574169395</v>
      </c>
      <c r="C101" s="1519"/>
      <c r="D101" s="1519"/>
      <c r="E101" s="1519"/>
      <c r="F101" s="1520"/>
      <c r="G101" s="85"/>
    </row>
    <row r="102" spans="1:6" ht="12.75">
      <c r="A102" s="104" t="s">
        <v>241</v>
      </c>
      <c r="F102" s="81"/>
    </row>
    <row r="103" spans="1:6" s="83" customFormat="1" ht="12.75">
      <c r="A103" s="99" t="s">
        <v>242</v>
      </c>
      <c r="B103" s="101">
        <f>'7 Rozvaha'!C10</f>
        <v>38206</v>
      </c>
      <c r="C103" s="95">
        <f>'7 Rozvaha'!D10</f>
        <v>69476</v>
      </c>
      <c r="D103" s="95">
        <f>'7 Rozvaha'!E10</f>
        <v>80660</v>
      </c>
      <c r="E103" s="95">
        <f>'7 Rozvaha'!F10</f>
        <v>72646</v>
      </c>
      <c r="F103" s="102">
        <f>'7 Rozvaha'!G10</f>
        <v>84500</v>
      </c>
    </row>
    <row r="104" spans="1:6" ht="12.75">
      <c r="A104" s="100" t="s">
        <v>222</v>
      </c>
      <c r="B104" s="103"/>
      <c r="C104" s="95">
        <f>'8 Výsledovka'!E14-C92-C98</f>
        <v>6708.310565635005</v>
      </c>
      <c r="D104" s="95">
        <f>'8 Výsledovka'!F14-D92-D98</f>
        <v>18821.6606189968</v>
      </c>
      <c r="E104" s="95">
        <f>'8 Výsledovka'!G14-E92-E98</f>
        <v>28355.824973319104</v>
      </c>
      <c r="F104" s="102">
        <f>'8 Výsledovka'!H14-F92-F98</f>
        <v>27719</v>
      </c>
    </row>
    <row r="105" spans="1:6" ht="12.75">
      <c r="A105" s="100" t="s">
        <v>255</v>
      </c>
      <c r="B105" s="103"/>
      <c r="C105" s="95"/>
      <c r="D105" s="95"/>
      <c r="E105" s="95">
        <f>'8 Výsledovka'!G16</f>
        <v>6656</v>
      </c>
      <c r="F105" s="102"/>
    </row>
    <row r="106" spans="1:6" ht="12.75">
      <c r="A106" s="100" t="s">
        <v>231</v>
      </c>
      <c r="B106" s="103"/>
      <c r="C106" s="95">
        <f>'7 Rozvaha'!D10-'7 Rozvaha'!C10</f>
        <v>31270</v>
      </c>
      <c r="D106" s="95">
        <f>'7 Rozvaha'!E10-'7 Rozvaha'!D10</f>
        <v>11184</v>
      </c>
      <c r="E106" s="95">
        <f>'7 Rozvaha'!F10-'7 Rozvaha'!E10</f>
        <v>-8014</v>
      </c>
      <c r="F106" s="102">
        <f>'7 Rozvaha'!G10-'7 Rozvaha'!F10</f>
        <v>11854</v>
      </c>
    </row>
    <row r="107" spans="1:6" ht="12.75">
      <c r="A107" s="100" t="s">
        <v>239</v>
      </c>
      <c r="B107" s="103"/>
      <c r="C107" s="95">
        <f>C106+C104</f>
        <v>37978.31056563501</v>
      </c>
      <c r="D107" s="95">
        <f>D106+D104</f>
        <v>30005.6606189968</v>
      </c>
      <c r="E107" s="95">
        <f>E106+E104+E105</f>
        <v>26997.824973319104</v>
      </c>
      <c r="F107" s="102">
        <f>F106+F104</f>
        <v>39573</v>
      </c>
    </row>
    <row r="108" spans="1:7" ht="13.5" thickBot="1">
      <c r="A108" s="890" t="s">
        <v>734</v>
      </c>
      <c r="B108" s="1518">
        <f>SUM(C106:F106)/$C$87</f>
        <v>0.0752190245931472</v>
      </c>
      <c r="C108" s="1519"/>
      <c r="D108" s="1519"/>
      <c r="E108" s="1519"/>
      <c r="F108" s="1520"/>
      <c r="G108" s="85"/>
    </row>
    <row r="109" spans="3:7" ht="12.75">
      <c r="C109" s="85"/>
      <c r="D109" s="85"/>
      <c r="E109" s="85"/>
      <c r="F109" s="85"/>
      <c r="G109" s="85"/>
    </row>
    <row r="110" spans="1:6" ht="12.75">
      <c r="A110" s="835" t="s">
        <v>572</v>
      </c>
      <c r="C110" s="85"/>
      <c r="D110" s="85"/>
      <c r="E110" s="85"/>
      <c r="F110" s="85"/>
    </row>
    <row r="111" spans="1:6" ht="8.25" customHeight="1">
      <c r="A111" s="835"/>
      <c r="C111" s="85"/>
      <c r="D111" s="85"/>
      <c r="E111" s="85"/>
      <c r="F111" s="85"/>
    </row>
    <row r="112" spans="1:3" s="83" customFormat="1" ht="12.75">
      <c r="A112" s="891" t="s">
        <v>735</v>
      </c>
      <c r="C112" s="892">
        <f>J7-F7</f>
        <v>598747.42512536</v>
      </c>
    </row>
    <row r="113" spans="1:3" s="83" customFormat="1" ht="12.75">
      <c r="A113" s="105"/>
      <c r="C113" s="106"/>
    </row>
    <row r="114" spans="1:3" s="83" customFormat="1" ht="12.75">
      <c r="A114" s="73" t="s">
        <v>244</v>
      </c>
      <c r="C114" s="106"/>
    </row>
    <row r="115" spans="1:6" ht="26.25" customHeight="1">
      <c r="A115" s="896" t="s">
        <v>243</v>
      </c>
      <c r="B115" s="1491" t="s">
        <v>246</v>
      </c>
      <c r="C115" s="1491"/>
      <c r="D115" s="1491" t="s">
        <v>798</v>
      </c>
      <c r="E115" s="1491"/>
      <c r="F115" s="1491"/>
    </row>
    <row r="116" spans="1:6" ht="12.75">
      <c r="A116" s="107" t="s">
        <v>240</v>
      </c>
      <c r="B116" s="1493">
        <f>ROUND(B95,3)</f>
        <v>0.002</v>
      </c>
      <c r="C116" s="1490"/>
      <c r="D116" s="110"/>
      <c r="E116" s="111">
        <f>B116*$C$112</f>
        <v>1197.49485025072</v>
      </c>
      <c r="F116" s="97"/>
    </row>
    <row r="117" spans="1:6" ht="12.75">
      <c r="A117" s="107" t="s">
        <v>10</v>
      </c>
      <c r="B117" s="1493">
        <f>ROUND(B101,3)</f>
        <v>0.054</v>
      </c>
      <c r="C117" s="1490"/>
      <c r="D117" s="110"/>
      <c r="E117" s="111">
        <f>B117*$C$112</f>
        <v>32332.36095676944</v>
      </c>
      <c r="F117" s="97"/>
    </row>
    <row r="118" spans="1:6" ht="12.75">
      <c r="A118" s="107" t="s">
        <v>241</v>
      </c>
      <c r="B118" s="1493">
        <f>ROUND(B108,3)</f>
        <v>0.075</v>
      </c>
      <c r="C118" s="1490"/>
      <c r="D118" s="110"/>
      <c r="E118" s="111">
        <f>B118*$C$112</f>
        <v>44906.056884402</v>
      </c>
      <c r="F118" s="97"/>
    </row>
    <row r="119" spans="1:6" ht="12.75">
      <c r="A119" s="108" t="s">
        <v>155</v>
      </c>
      <c r="B119" s="1497">
        <f>SUM(B116:C118)</f>
        <v>0.131</v>
      </c>
      <c r="C119" s="1498"/>
      <c r="D119" s="112"/>
      <c r="E119" s="113">
        <f>B119*$C$112</f>
        <v>78435.91269142217</v>
      </c>
      <c r="F119" s="97"/>
    </row>
    <row r="120" ht="12.75"/>
    <row r="121" spans="1:3" s="83" customFormat="1" ht="12.75">
      <c r="A121" s="73" t="s">
        <v>245</v>
      </c>
      <c r="C121" s="106"/>
    </row>
    <row r="122" spans="1:6" ht="26.25" customHeight="1">
      <c r="A122" s="896" t="s">
        <v>243</v>
      </c>
      <c r="B122" s="1491" t="s">
        <v>247</v>
      </c>
      <c r="C122" s="1491"/>
      <c r="D122" s="1491" t="s">
        <v>798</v>
      </c>
      <c r="E122" s="1491"/>
      <c r="F122" s="1491"/>
    </row>
    <row r="123" spans="1:6" ht="12.75">
      <c r="A123" s="107" t="s">
        <v>240</v>
      </c>
      <c r="B123" s="1493">
        <v>0.015</v>
      </c>
      <c r="C123" s="1490"/>
      <c r="D123" s="110"/>
      <c r="E123" s="111">
        <f>B123*$C$112</f>
        <v>8981.2113768804</v>
      </c>
      <c r="F123" s="97"/>
    </row>
    <row r="124" spans="1:6" ht="12.75">
      <c r="A124" s="107" t="s">
        <v>10</v>
      </c>
      <c r="B124" s="1493">
        <v>0.06</v>
      </c>
      <c r="C124" s="1490"/>
      <c r="D124" s="110"/>
      <c r="E124" s="111">
        <f>B124*$C$112</f>
        <v>35924.8455075216</v>
      </c>
      <c r="F124" s="97"/>
    </row>
    <row r="125" spans="1:6" ht="12.75">
      <c r="A125" s="107" t="s">
        <v>241</v>
      </c>
      <c r="B125" s="1493">
        <v>0.11</v>
      </c>
      <c r="C125" s="1490"/>
      <c r="D125" s="110"/>
      <c r="E125" s="111">
        <f>B125*$C$112</f>
        <v>65862.2167637896</v>
      </c>
      <c r="F125" s="97"/>
    </row>
    <row r="126" spans="1:6" ht="12.75">
      <c r="A126" s="108" t="s">
        <v>155</v>
      </c>
      <c r="B126" s="1497">
        <f>SUM(B123:C125)</f>
        <v>0.185</v>
      </c>
      <c r="C126" s="1498"/>
      <c r="D126" s="112"/>
      <c r="E126" s="113">
        <f>B126*$C$112</f>
        <v>110768.2736481916</v>
      </c>
      <c r="F126" s="97"/>
    </row>
    <row r="127" ht="12.75"/>
    <row r="128" spans="1:2" ht="12.75">
      <c r="A128" s="73" t="s">
        <v>248</v>
      </c>
      <c r="B128" s="84"/>
    </row>
    <row r="129" spans="1:6" ht="27" customHeight="1">
      <c r="A129" s="897" t="s">
        <v>243</v>
      </c>
      <c r="B129" s="1492"/>
      <c r="C129" s="1491"/>
      <c r="D129" s="1491" t="s">
        <v>798</v>
      </c>
      <c r="E129" s="1491"/>
      <c r="F129" s="1491"/>
    </row>
    <row r="130" spans="1:6" ht="12.75">
      <c r="A130" s="114" t="s">
        <v>240</v>
      </c>
      <c r="B130" s="1489"/>
      <c r="C130" s="1490"/>
      <c r="D130" s="110"/>
      <c r="E130" s="111">
        <v>8000</v>
      </c>
      <c r="F130" s="97"/>
    </row>
    <row r="131" spans="1:6" ht="12.75">
      <c r="A131" s="114" t="s">
        <v>10</v>
      </c>
      <c r="B131" s="1489"/>
      <c r="C131" s="1490"/>
      <c r="D131" s="110"/>
      <c r="E131" s="111">
        <v>30000</v>
      </c>
      <c r="F131" s="97"/>
    </row>
    <row r="132" spans="1:6" ht="12.75">
      <c r="A132" s="114" t="s">
        <v>241</v>
      </c>
      <c r="B132" s="1489"/>
      <c r="C132" s="1490"/>
      <c r="D132" s="110"/>
      <c r="E132" s="111">
        <v>50000</v>
      </c>
      <c r="F132" s="97"/>
    </row>
    <row r="133" spans="1:6" ht="12.75">
      <c r="A133" s="115" t="s">
        <v>155</v>
      </c>
      <c r="B133" s="1517"/>
      <c r="C133" s="1498"/>
      <c r="D133" s="112"/>
      <c r="E133" s="113">
        <f>SUM(E130:E132)</f>
        <v>88000</v>
      </c>
      <c r="F133" s="97"/>
    </row>
    <row r="134" ht="12.75"/>
    <row r="135" ht="12.75">
      <c r="A135" s="73" t="s">
        <v>249</v>
      </c>
    </row>
    <row r="136" spans="1:6" ht="26.25" customHeight="1">
      <c r="A136" s="897" t="s">
        <v>243</v>
      </c>
      <c r="B136" s="1492"/>
      <c r="C136" s="1491"/>
      <c r="D136" s="1491" t="s">
        <v>798</v>
      </c>
      <c r="E136" s="1491"/>
      <c r="F136" s="1491"/>
    </row>
    <row r="137" spans="1:6" ht="12.75">
      <c r="A137" s="114" t="s">
        <v>240</v>
      </c>
      <c r="B137" s="1489"/>
      <c r="C137" s="1490"/>
      <c r="D137" s="110"/>
      <c r="E137" s="111">
        <f>ROUND((E130+E123)/2,0)</f>
        <v>8491</v>
      </c>
      <c r="F137" s="97"/>
    </row>
    <row r="138" spans="1:8" ht="15.75">
      <c r="A138" s="114" t="s">
        <v>10</v>
      </c>
      <c r="B138" s="1489"/>
      <c r="C138" s="1490"/>
      <c r="D138" s="110"/>
      <c r="E138" s="111">
        <f>ROUND((E131+E124)/2,0)</f>
        <v>32962</v>
      </c>
      <c r="F138" s="97"/>
      <c r="H138" s="1384"/>
    </row>
    <row r="139" spans="1:6" ht="12.75">
      <c r="A139" s="114" t="s">
        <v>241</v>
      </c>
      <c r="B139" s="1489"/>
      <c r="C139" s="1490"/>
      <c r="D139" s="110"/>
      <c r="E139" s="111">
        <f>ROUND((E132+E125)/2,0)</f>
        <v>57931</v>
      </c>
      <c r="F139" s="97"/>
    </row>
    <row r="140" spans="1:6" ht="12.75">
      <c r="A140" s="115" t="s">
        <v>155</v>
      </c>
      <c r="B140" s="1517"/>
      <c r="C140" s="1498"/>
      <c r="D140" s="112"/>
      <c r="E140" s="113">
        <f>SUM(E137:E139)</f>
        <v>99384</v>
      </c>
      <c r="F140" s="97"/>
    </row>
    <row r="141" spans="1:6" ht="12.75">
      <c r="A141" s="893" t="s">
        <v>259</v>
      </c>
      <c r="B141" s="894"/>
      <c r="C141" s="895"/>
      <c r="D141" s="1322"/>
      <c r="E141" s="1321">
        <f>E140/C112</f>
        <v>0.16598651756906</v>
      </c>
      <c r="F141" s="1323"/>
    </row>
    <row r="142" spans="1:7" ht="12.75">
      <c r="A142" s="73"/>
      <c r="B142" s="184"/>
      <c r="C142" s="185"/>
      <c r="D142" s="86"/>
      <c r="E142" s="186"/>
      <c r="F142" s="85"/>
      <c r="G142" s="186"/>
    </row>
    <row r="143" ht="12.75"/>
    <row r="144" ht="13.5" thickBot="1">
      <c r="A144" s="835" t="s">
        <v>573</v>
      </c>
    </row>
    <row r="145" spans="1:7" ht="39" thickBot="1">
      <c r="A145" s="812"/>
      <c r="B145" s="1316">
        <f>F4</f>
        <v>2006</v>
      </c>
      <c r="C145" s="1317">
        <f>B145+1</f>
        <v>2007</v>
      </c>
      <c r="D145" s="1318">
        <f>C145+1</f>
        <v>2008</v>
      </c>
      <c r="E145" s="1318">
        <f>D145+1</f>
        <v>2009</v>
      </c>
      <c r="F145" s="1319">
        <f>E145+1</f>
        <v>2010</v>
      </c>
      <c r="G145" s="1320" t="s">
        <v>756</v>
      </c>
    </row>
    <row r="146" ht="13.5" thickBot="1">
      <c r="A146" s="73" t="s">
        <v>240</v>
      </c>
    </row>
    <row r="147" spans="1:6" ht="12.75">
      <c r="A147" s="908" t="s">
        <v>812</v>
      </c>
      <c r="B147" s="909">
        <f>F92</f>
        <v>1153</v>
      </c>
      <c r="C147" s="910">
        <f>B147</f>
        <v>1153</v>
      </c>
      <c r="D147" s="595">
        <f>C148</f>
        <v>1011</v>
      </c>
      <c r="E147" s="802"/>
      <c r="F147" s="803"/>
    </row>
    <row r="148" spans="1:6" s="83" customFormat="1" ht="13.5" thickBot="1">
      <c r="A148" s="904" t="s">
        <v>251</v>
      </c>
      <c r="B148" s="905">
        <f>F91</f>
        <v>2164</v>
      </c>
      <c r="C148" s="906">
        <f>B148-C147</f>
        <v>1011</v>
      </c>
      <c r="D148" s="907">
        <v>0</v>
      </c>
      <c r="E148" s="907">
        <v>0</v>
      </c>
      <c r="F148" s="914">
        <v>0</v>
      </c>
    </row>
    <row r="149" spans="1:7" s="83" customFormat="1" ht="13.5" thickBot="1">
      <c r="A149" s="1324" t="s">
        <v>799</v>
      </c>
      <c r="B149" s="1325"/>
      <c r="C149" s="1326">
        <v>2371</v>
      </c>
      <c r="D149" s="1327">
        <v>2000</v>
      </c>
      <c r="E149" s="1327">
        <v>1000</v>
      </c>
      <c r="F149" s="1330">
        <f>E137-SUM(C149:E149)</f>
        <v>3120</v>
      </c>
      <c r="G149" s="1331">
        <f>SUM(C149:F149)</f>
        <v>8491</v>
      </c>
    </row>
    <row r="150" spans="1:6" ht="12.75">
      <c r="A150" s="1394" t="s">
        <v>800</v>
      </c>
      <c r="B150" s="913"/>
      <c r="C150" s="585">
        <f>C149+C147+C152</f>
        <v>3524</v>
      </c>
      <c r="D150" s="596">
        <f>D149+D147+D152</f>
        <v>3892</v>
      </c>
      <c r="E150" s="31">
        <f>E149+E147+E152</f>
        <v>2854</v>
      </c>
      <c r="F150" s="914">
        <f>F149+F147+F152</f>
        <v>5687.5</v>
      </c>
    </row>
    <row r="151" spans="1:6" ht="12.75">
      <c r="A151" s="913" t="s">
        <v>757</v>
      </c>
      <c r="B151" s="913"/>
      <c r="C151" s="585">
        <f>B151+C150</f>
        <v>3524</v>
      </c>
      <c r="D151" s="596">
        <f>C151+D150</f>
        <v>7416</v>
      </c>
      <c r="E151" s="596">
        <f>D151+E150</f>
        <v>10270</v>
      </c>
      <c r="F151" s="914">
        <f>E151+F150</f>
        <v>15957.5</v>
      </c>
    </row>
    <row r="152" spans="1:6" ht="12.75">
      <c r="A152" s="913" t="s">
        <v>803</v>
      </c>
      <c r="B152" s="913"/>
      <c r="C152" s="585">
        <f>B151/4</f>
        <v>0</v>
      </c>
      <c r="D152" s="596">
        <f>C151/4</f>
        <v>881</v>
      </c>
      <c r="E152" s="596">
        <f>D151/4</f>
        <v>1854</v>
      </c>
      <c r="F152" s="914">
        <f>E151/4</f>
        <v>2567.5</v>
      </c>
    </row>
    <row r="153" spans="1:6" ht="12.75">
      <c r="A153" s="911" t="s">
        <v>252</v>
      </c>
      <c r="B153" s="920">
        <f>B147+B152</f>
        <v>1153</v>
      </c>
      <c r="C153" s="921">
        <f>C147+C152</f>
        <v>1153</v>
      </c>
      <c r="D153" s="922">
        <f>D147+D152</f>
        <v>1892</v>
      </c>
      <c r="E153" s="922">
        <f>E147+E152</f>
        <v>1854</v>
      </c>
      <c r="F153" s="923">
        <f>F147+F152</f>
        <v>2567.5</v>
      </c>
    </row>
    <row r="154" spans="1:6" ht="13.5" thickBot="1">
      <c r="A154" s="915" t="s">
        <v>251</v>
      </c>
      <c r="B154" s="916">
        <f>B148</f>
        <v>2164</v>
      </c>
      <c r="C154" s="917">
        <f>B154+C149</f>
        <v>4535</v>
      </c>
      <c r="D154" s="918">
        <f>C154+D149</f>
        <v>6535</v>
      </c>
      <c r="E154" s="918">
        <f>D154+E149</f>
        <v>7535</v>
      </c>
      <c r="F154" s="919">
        <f>E154+F149</f>
        <v>10655</v>
      </c>
    </row>
    <row r="155" spans="1:2" ht="13.5" thickBot="1">
      <c r="A155" s="73" t="s">
        <v>10</v>
      </c>
      <c r="B155" s="73"/>
    </row>
    <row r="156" spans="1:6" ht="12.75">
      <c r="A156" s="908" t="s">
        <v>253</v>
      </c>
      <c r="B156" s="909">
        <f>F98</f>
        <v>16500</v>
      </c>
      <c r="C156" s="926">
        <f>B156</f>
        <v>16500</v>
      </c>
      <c r="D156" s="927">
        <f>C156</f>
        <v>16500</v>
      </c>
      <c r="E156" s="927">
        <f>D156</f>
        <v>16500</v>
      </c>
      <c r="F156" s="928">
        <f>E156</f>
        <v>16500</v>
      </c>
    </row>
    <row r="157" spans="1:6" ht="13.5" thickBot="1">
      <c r="A157" s="904" t="s">
        <v>251</v>
      </c>
      <c r="B157" s="905">
        <f>F97</f>
        <v>351000</v>
      </c>
      <c r="C157" s="924">
        <f>B157-C156</f>
        <v>334500</v>
      </c>
      <c r="D157" s="907">
        <f>C157-D156</f>
        <v>318000</v>
      </c>
      <c r="E157" s="907">
        <f>D157-E156</f>
        <v>301500</v>
      </c>
      <c r="F157" s="925">
        <f>E157-F156</f>
        <v>285000</v>
      </c>
    </row>
    <row r="158" spans="1:7" s="83" customFormat="1" ht="13.5" thickBot="1">
      <c r="A158" s="1324" t="s">
        <v>799</v>
      </c>
      <c r="B158" s="1325"/>
      <c r="C158" s="1326">
        <f>$E$138/4</f>
        <v>8240.5</v>
      </c>
      <c r="D158" s="1326">
        <f>$E$138/4</f>
        <v>8240.5</v>
      </c>
      <c r="E158" s="1326">
        <f>$E$138/4</f>
        <v>8240.5</v>
      </c>
      <c r="F158" s="1328">
        <f>E138-SUM(C158:E158)</f>
        <v>8240.5</v>
      </c>
      <c r="G158" s="1331">
        <f>SUM(C158:F158)</f>
        <v>32962</v>
      </c>
    </row>
    <row r="159" spans="1:7" s="83" customFormat="1" ht="12.75">
      <c r="A159" s="1394" t="s">
        <v>800</v>
      </c>
      <c r="B159" s="1395"/>
      <c r="C159" s="1396">
        <f>C158+C156+C161</f>
        <v>24740.5</v>
      </c>
      <c r="D159" s="1396">
        <f>D158+D156+D161</f>
        <v>25565.183333333334</v>
      </c>
      <c r="E159" s="1396">
        <f>E158+E156+E161</f>
        <v>26417.356111111112</v>
      </c>
      <c r="F159" s="1399">
        <f>F158+F156+F161</f>
        <v>27297.934648148148</v>
      </c>
      <c r="G159" s="1398"/>
    </row>
    <row r="160" spans="1:6" ht="12.75">
      <c r="A160" s="913" t="s">
        <v>757</v>
      </c>
      <c r="B160" s="913"/>
      <c r="C160" s="585">
        <f>B160+C159</f>
        <v>24740.5</v>
      </c>
      <c r="D160" s="596">
        <f>C160+D159</f>
        <v>50305.683333333334</v>
      </c>
      <c r="E160" s="596">
        <f>D160+E159</f>
        <v>76723.03944444444</v>
      </c>
      <c r="F160" s="914">
        <f>E160+F159</f>
        <v>104020.97409259259</v>
      </c>
    </row>
    <row r="161" spans="1:6" ht="12.75">
      <c r="A161" s="913" t="s">
        <v>801</v>
      </c>
      <c r="B161" s="913"/>
      <c r="C161" s="628">
        <f>(B160/30)</f>
        <v>0</v>
      </c>
      <c r="D161" s="596">
        <f>(C160/30)</f>
        <v>824.6833333333333</v>
      </c>
      <c r="E161" s="596">
        <f>(D160/30)</f>
        <v>1676.8561111111112</v>
      </c>
      <c r="F161" s="914">
        <f>(E160/30)</f>
        <v>2557.434648148148</v>
      </c>
    </row>
    <row r="162" spans="1:6" ht="12.75">
      <c r="A162" s="911" t="s">
        <v>252</v>
      </c>
      <c r="B162" s="920">
        <f>B156+B161</f>
        <v>16500</v>
      </c>
      <c r="C162" s="930">
        <f>C156+C161</f>
        <v>16500</v>
      </c>
      <c r="D162" s="922">
        <f>D156+D161</f>
        <v>17324.683333333334</v>
      </c>
      <c r="E162" s="922">
        <f>E156+E161</f>
        <v>18176.856111111112</v>
      </c>
      <c r="F162" s="923">
        <f>F156+F161</f>
        <v>19057.434648148148</v>
      </c>
    </row>
    <row r="163" spans="1:6" ht="13.5" thickBot="1">
      <c r="A163" s="915" t="s">
        <v>251</v>
      </c>
      <c r="B163" s="916">
        <f>B157</f>
        <v>351000</v>
      </c>
      <c r="C163" s="929">
        <f>B163+C158</f>
        <v>359240.5</v>
      </c>
      <c r="D163" s="918">
        <f>C163+D158</f>
        <v>367481</v>
      </c>
      <c r="E163" s="918">
        <f>D163+E158</f>
        <v>375721.5</v>
      </c>
      <c r="F163" s="919">
        <f>E163+F158</f>
        <v>383962</v>
      </c>
    </row>
    <row r="164" spans="1:2" ht="13.5" thickBot="1">
      <c r="A164" s="73" t="s">
        <v>241</v>
      </c>
      <c r="B164" s="73"/>
    </row>
    <row r="165" spans="1:6" ht="12.75">
      <c r="A165" s="908" t="s">
        <v>253</v>
      </c>
      <c r="B165" s="909">
        <f>F104</f>
        <v>27719</v>
      </c>
      <c r="C165" s="926">
        <f>B165</f>
        <v>27719</v>
      </c>
      <c r="D165" s="927">
        <v>24386</v>
      </c>
      <c r="E165" s="927">
        <v>20105</v>
      </c>
      <c r="F165" s="876">
        <f>E166</f>
        <v>12290</v>
      </c>
    </row>
    <row r="166" spans="1:6" ht="13.5" thickBot="1">
      <c r="A166" s="904" t="s">
        <v>251</v>
      </c>
      <c r="B166" s="905">
        <f>F103</f>
        <v>84500</v>
      </c>
      <c r="C166" s="924">
        <f>B166-C165</f>
        <v>56781</v>
      </c>
      <c r="D166" s="907">
        <f>C166-D165</f>
        <v>32395</v>
      </c>
      <c r="E166" s="907">
        <f>D166-E165</f>
        <v>12290</v>
      </c>
      <c r="F166" s="164">
        <f>E166-F165</f>
        <v>0</v>
      </c>
    </row>
    <row r="167" spans="1:7" ht="13.5" thickBot="1">
      <c r="A167" s="1324" t="s">
        <v>799</v>
      </c>
      <c r="B167" s="1325"/>
      <c r="C167" s="1329">
        <v>15000</v>
      </c>
      <c r="D167" s="1327">
        <v>15220</v>
      </c>
      <c r="E167" s="1327">
        <v>8850</v>
      </c>
      <c r="F167" s="1328">
        <f>E139-SUM(C167:E167)</f>
        <v>18861</v>
      </c>
      <c r="G167" s="1331">
        <f>SUM(C167:F167)</f>
        <v>57931</v>
      </c>
    </row>
    <row r="168" spans="1:7" ht="12.75">
      <c r="A168" s="1394" t="s">
        <v>800</v>
      </c>
      <c r="B168" s="1395"/>
      <c r="C168" s="626">
        <f>C167+C165+C170</f>
        <v>42719</v>
      </c>
      <c r="D168" s="1397">
        <f>D167+D165+D170</f>
        <v>46725.833333333336</v>
      </c>
      <c r="E168" s="1397">
        <f>E167+E165+E170</f>
        <v>43862.472222222226</v>
      </c>
      <c r="F168" s="1399">
        <f>F167+F165+F170</f>
        <v>53368.884259259255</v>
      </c>
      <c r="G168" s="1398"/>
    </row>
    <row r="169" spans="1:6" ht="12.75">
      <c r="A169" s="913" t="s">
        <v>757</v>
      </c>
      <c r="B169" s="913"/>
      <c r="C169" s="628">
        <f>B169+C168</f>
        <v>42719</v>
      </c>
      <c r="D169" s="596">
        <f>C169+D168</f>
        <v>89444.83333333334</v>
      </c>
      <c r="E169" s="596">
        <f>D169+E168</f>
        <v>133307.30555555556</v>
      </c>
      <c r="F169" s="914">
        <f>E169+F168</f>
        <v>186676.18981481483</v>
      </c>
    </row>
    <row r="170" spans="1:6" ht="12.75">
      <c r="A170" s="913" t="s">
        <v>802</v>
      </c>
      <c r="B170" s="913"/>
      <c r="C170" s="628">
        <f>B169/6</f>
        <v>0</v>
      </c>
      <c r="D170" s="596">
        <f>C169/6</f>
        <v>7119.833333333333</v>
      </c>
      <c r="E170" s="596">
        <f>D169/6</f>
        <v>14907.472222222224</v>
      </c>
      <c r="F170" s="914">
        <f>E169/6</f>
        <v>22217.88425925926</v>
      </c>
    </row>
    <row r="171" spans="1:6" ht="12.75">
      <c r="A171" s="911" t="s">
        <v>252</v>
      </c>
      <c r="B171" s="920">
        <f>B165</f>
        <v>27719</v>
      </c>
      <c r="C171" s="930">
        <f>C165+C170</f>
        <v>27719</v>
      </c>
      <c r="D171" s="922">
        <f>D165+D170</f>
        <v>31505.833333333332</v>
      </c>
      <c r="E171" s="922">
        <f>E165+E170</f>
        <v>35012.472222222226</v>
      </c>
      <c r="F171" s="923">
        <f>F165+F170</f>
        <v>34507.884259259255</v>
      </c>
    </row>
    <row r="172" spans="1:6" ht="13.5" thickBot="1">
      <c r="A172" s="915" t="s">
        <v>251</v>
      </c>
      <c r="B172" s="916">
        <f>B166</f>
        <v>84500</v>
      </c>
      <c r="C172" s="929">
        <f>B172+C167</f>
        <v>99500</v>
      </c>
      <c r="D172" s="918">
        <f>C172+D167</f>
        <v>114720</v>
      </c>
      <c r="E172" s="918">
        <f>D172+E167</f>
        <v>123570</v>
      </c>
      <c r="F172" s="919">
        <f>E172+F167</f>
        <v>142431</v>
      </c>
    </row>
    <row r="173" spans="1:6" ht="13.5" thickBot="1">
      <c r="A173" s="30"/>
      <c r="B173" s="564"/>
      <c r="C173" s="564"/>
      <c r="D173" s="564"/>
      <c r="E173" s="564"/>
      <c r="F173" s="564"/>
    </row>
    <row r="174" spans="1:6" ht="13.5" thickBot="1">
      <c r="A174" s="811" t="s">
        <v>254</v>
      </c>
      <c r="B174" s="932">
        <f>'7 Rozvaha'!G8</f>
        <v>14524</v>
      </c>
      <c r="C174" s="933">
        <f>B174</f>
        <v>14524</v>
      </c>
      <c r="D174" s="934">
        <f>C174</f>
        <v>14524</v>
      </c>
      <c r="E174" s="934">
        <f>D174</f>
        <v>14524</v>
      </c>
      <c r="F174" s="935">
        <f>E174</f>
        <v>14524</v>
      </c>
    </row>
    <row r="175" spans="1:6" ht="12.75">
      <c r="A175" s="73"/>
      <c r="B175" s="564"/>
      <c r="C175" s="564"/>
      <c r="D175" s="564"/>
      <c r="E175" s="564"/>
      <c r="F175" s="564"/>
    </row>
    <row r="176" spans="1:2" ht="13.5" thickBot="1">
      <c r="A176" s="73" t="s">
        <v>155</v>
      </c>
      <c r="B176" s="73"/>
    </row>
    <row r="177" spans="1:6" ht="12.75">
      <c r="A177" s="900" t="s">
        <v>222</v>
      </c>
      <c r="B177" s="936">
        <f>B153+B162+B171</f>
        <v>45372</v>
      </c>
      <c r="C177" s="938">
        <f>C153+C162+C171</f>
        <v>45372</v>
      </c>
      <c r="D177" s="939">
        <f>D153+D162+D171</f>
        <v>50722.51666666666</v>
      </c>
      <c r="E177" s="939">
        <f>E153+E162+E171</f>
        <v>55043.32833333334</v>
      </c>
      <c r="F177" s="940">
        <f>F153+F162+F171</f>
        <v>56132.8189074074</v>
      </c>
    </row>
    <row r="178" spans="1:6" ht="13.5" thickBot="1">
      <c r="A178" s="901" t="s">
        <v>257</v>
      </c>
      <c r="B178" s="903">
        <f>B154+B163+B172+B174</f>
        <v>452188</v>
      </c>
      <c r="C178" s="941">
        <f>C154+C163+C172+C174</f>
        <v>477799.5</v>
      </c>
      <c r="D178" s="942">
        <f>D154+D163+D172+D174</f>
        <v>503260</v>
      </c>
      <c r="E178" s="942">
        <f>E154+E163+E172+E174</f>
        <v>521350.5</v>
      </c>
      <c r="F178" s="943">
        <f>F154+F163+F172+F174</f>
        <v>551572</v>
      </c>
    </row>
    <row r="179" spans="1:8" ht="12.75">
      <c r="A179" s="911" t="s">
        <v>804</v>
      </c>
      <c r="B179" s="920">
        <f>F93+F99+F106</f>
        <v>33706</v>
      </c>
      <c r="C179" s="1400">
        <f>C149+C158+C167</f>
        <v>25611.5</v>
      </c>
      <c r="D179" s="1401">
        <f aca="true" t="shared" si="18" ref="D179:F180">D149+D158+D167</f>
        <v>25460.5</v>
      </c>
      <c r="E179" s="1401">
        <f t="shared" si="18"/>
        <v>18090.5</v>
      </c>
      <c r="F179" s="1402">
        <f t="shared" si="18"/>
        <v>30221.5</v>
      </c>
      <c r="G179" s="1051">
        <f>SUM(C179:F179)</f>
        <v>99384</v>
      </c>
      <c r="H179" s="85"/>
    </row>
    <row r="180" spans="1:7" ht="13.5" thickBot="1">
      <c r="A180" s="902" t="s">
        <v>805</v>
      </c>
      <c r="B180" s="937">
        <f>F94+F100+F107</f>
        <v>79078</v>
      </c>
      <c r="C180" s="836">
        <f>C150+C159+C168</f>
        <v>70983.5</v>
      </c>
      <c r="D180" s="837">
        <f t="shared" si="18"/>
        <v>76183.01666666666</v>
      </c>
      <c r="E180" s="837">
        <f t="shared" si="18"/>
        <v>73133.82833333334</v>
      </c>
      <c r="F180" s="838">
        <f t="shared" si="18"/>
        <v>86354.3189074074</v>
      </c>
      <c r="G180" s="1403">
        <f>SUM(C180:F180)</f>
        <v>306654.66390740743</v>
      </c>
    </row>
    <row r="181" ht="20.25" customHeight="1"/>
    <row r="182" spans="1:6" ht="15.75">
      <c r="A182" s="834" t="s">
        <v>788</v>
      </c>
      <c r="C182" s="183"/>
      <c r="D182" s="183"/>
      <c r="E182" s="183"/>
      <c r="F182" s="183"/>
    </row>
    <row r="183" ht="12.75"/>
    <row r="184" spans="1:12" ht="13.5" thickBot="1">
      <c r="A184" s="835" t="s">
        <v>789</v>
      </c>
      <c r="B184" s="1340"/>
      <c r="C184" s="1340"/>
      <c r="D184" s="1340"/>
      <c r="E184" s="1340"/>
      <c r="F184" s="1340"/>
      <c r="G184" s="1340"/>
      <c r="H184" s="1340"/>
      <c r="I184" s="1340"/>
      <c r="J184" s="1340"/>
      <c r="L184" s="84"/>
    </row>
    <row r="185" spans="1:12" ht="13.5" thickBot="1">
      <c r="A185" s="862"/>
      <c r="B185" s="671">
        <f aca="true" t="shared" si="19" ref="B185:J185">B20</f>
        <v>2002</v>
      </c>
      <c r="C185" s="672">
        <f t="shared" si="19"/>
        <v>2003</v>
      </c>
      <c r="D185" s="672">
        <f t="shared" si="19"/>
        <v>2004</v>
      </c>
      <c r="E185" s="672">
        <f t="shared" si="19"/>
        <v>2005</v>
      </c>
      <c r="F185" s="769">
        <f t="shared" si="19"/>
        <v>2006</v>
      </c>
      <c r="G185" s="671">
        <f t="shared" si="19"/>
        <v>2007</v>
      </c>
      <c r="H185" s="672">
        <f t="shared" si="19"/>
        <v>2008</v>
      </c>
      <c r="I185" s="672">
        <f t="shared" si="19"/>
        <v>2009</v>
      </c>
      <c r="J185" s="769">
        <f t="shared" si="19"/>
        <v>2010</v>
      </c>
      <c r="L185" s="84"/>
    </row>
    <row r="186" spans="1:12" ht="12.75">
      <c r="A186" s="1368" t="s">
        <v>758</v>
      </c>
      <c r="B186" s="1369">
        <f>(B44-'8 Výsledovka'!D14)*(1-'8 Výsledovka'!D3)</f>
        <v>36375.42</v>
      </c>
      <c r="C186" s="1358">
        <f>(C44-'8 Výsledovka'!E14)*(1-'8 Výsledovka'!E3)</f>
        <v>40934.25</v>
      </c>
      <c r="D186" s="1358">
        <f>(D44-'8 Výsledovka'!F14)*(1-'8 Výsledovka'!F3)</f>
        <v>32605.199999999997</v>
      </c>
      <c r="E186" s="1358">
        <f>(E44-'8 Výsledovka'!G14)*(1-'8 Výsledovka'!G3)</f>
        <v>46225.58</v>
      </c>
      <c r="F186" s="1370">
        <f>(F44-'8 Výsledovka'!H14)*(1-'8 Výsledovka'!H3)</f>
        <v>54691.12</v>
      </c>
      <c r="G186" s="1357">
        <f>(G44-C177)*(1-'18 Plán'!C7)</f>
        <v>63968.64093427207</v>
      </c>
      <c r="H186" s="1358">
        <f>(H44-D177)*(1-'18 Plán'!D7)</f>
        <v>70428.72707812251</v>
      </c>
      <c r="I186" s="1358">
        <f>(I44-E177)*(1-'18 Plán'!E7)</f>
        <v>73682.28927006072</v>
      </c>
      <c r="J186" s="1359">
        <f>(J44-F177)*(1-'18 Plán'!F7)</f>
        <v>79203.49755738956</v>
      </c>
      <c r="K186" s="30"/>
      <c r="L186" s="84"/>
    </row>
    <row r="187" spans="1:12" ht="12.75">
      <c r="A187" s="1341" t="s">
        <v>792</v>
      </c>
      <c r="B187" s="1342">
        <f aca="true" t="shared" si="20" ref="B187:J187">B186/B7</f>
        <v>0.02526944735054206</v>
      </c>
      <c r="C187" s="1343">
        <f t="shared" si="20"/>
        <v>0.023166877012671696</v>
      </c>
      <c r="D187" s="1343">
        <f t="shared" si="20"/>
        <v>0.01780131009850307</v>
      </c>
      <c r="E187" s="1343">
        <f t="shared" si="20"/>
        <v>0.02441287314654617</v>
      </c>
      <c r="F187" s="1344">
        <f t="shared" si="20"/>
        <v>0.02661422763871573</v>
      </c>
      <c r="G187" s="1345">
        <f t="shared" si="20"/>
        <v>0.02819649333072165</v>
      </c>
      <c r="H187" s="1343">
        <f t="shared" si="20"/>
        <v>0.029204148702107115</v>
      </c>
      <c r="I187" s="1343">
        <f t="shared" si="20"/>
        <v>0.029043040665616714</v>
      </c>
      <c r="J187" s="1346">
        <f t="shared" si="20"/>
        <v>0.02984637888120081</v>
      </c>
      <c r="K187" s="30"/>
      <c r="L187" s="84"/>
    </row>
    <row r="188" spans="1:12" ht="13.5" thickBot="1">
      <c r="A188" s="94" t="s">
        <v>793</v>
      </c>
      <c r="B188" s="1340"/>
      <c r="C188" s="1508">
        <f>(F186/B186)^(1/4)-1</f>
        <v>0.10733034196055291</v>
      </c>
      <c r="D188" s="1509"/>
      <c r="E188" s="1509"/>
      <c r="F188" s="1510"/>
      <c r="G188" s="1512">
        <f>(J186/F186)^(1/4)-1</f>
        <v>0.09700065204006836</v>
      </c>
      <c r="H188" s="1513"/>
      <c r="I188" s="1513"/>
      <c r="J188" s="1514"/>
      <c r="K188" s="30"/>
      <c r="L188" s="84"/>
    </row>
    <row r="189" ht="12.75">
      <c r="K189" s="30"/>
    </row>
    <row r="190" spans="1:11" ht="13.5" thickBot="1">
      <c r="A190" s="835" t="s">
        <v>790</v>
      </c>
      <c r="K190" s="30"/>
    </row>
    <row r="191" spans="1:11" ht="13.5" thickBot="1">
      <c r="A191" s="862"/>
      <c r="B191" s="671">
        <f>B185</f>
        <v>2002</v>
      </c>
      <c r="C191" s="672">
        <f aca="true" t="shared" si="21" ref="C191:J191">C185</f>
        <v>2003</v>
      </c>
      <c r="D191" s="672">
        <f t="shared" si="21"/>
        <v>2004</v>
      </c>
      <c r="E191" s="672">
        <f t="shared" si="21"/>
        <v>2005</v>
      </c>
      <c r="F191" s="769">
        <f t="shared" si="21"/>
        <v>2006</v>
      </c>
      <c r="G191" s="671">
        <f t="shared" si="21"/>
        <v>2007</v>
      </c>
      <c r="H191" s="672">
        <f t="shared" si="21"/>
        <v>2008</v>
      </c>
      <c r="I191" s="672">
        <f t="shared" si="21"/>
        <v>2009</v>
      </c>
      <c r="J191" s="769">
        <f t="shared" si="21"/>
        <v>2010</v>
      </c>
      <c r="K191" s="30"/>
    </row>
    <row r="192" spans="1:11" ht="12.75">
      <c r="A192" s="1374" t="s">
        <v>773</v>
      </c>
      <c r="B192" s="1375">
        <f>'15 Rozdělení majektu'!B17</f>
        <v>386073.503</v>
      </c>
      <c r="C192" s="1376">
        <f>'15 Rozdělení majektu'!C17</f>
        <v>435865.7593707</v>
      </c>
      <c r="D192" s="1376">
        <f>'15 Rozdělení majektu'!D17</f>
        <v>445373.8760381691</v>
      </c>
      <c r="E192" s="1376">
        <f>'15 Rozdělení majektu'!E17</f>
        <v>438202.5</v>
      </c>
      <c r="F192" s="1377">
        <f>'15 Rozdělení majektu'!F17</f>
        <v>488911.1</v>
      </c>
      <c r="G192" s="1375">
        <f>G77+C178</f>
        <v>519238.2056526027</v>
      </c>
      <c r="H192" s="1376">
        <f>H77+D178</f>
        <v>553792.3575904043</v>
      </c>
      <c r="I192" s="1376">
        <f>I77+E178</f>
        <v>587127.8700271113</v>
      </c>
      <c r="J192" s="1377">
        <f>J77+F178</f>
        <v>620284.5090483584</v>
      </c>
      <c r="K192" s="278"/>
    </row>
    <row r="193" spans="1:11" ht="12.75">
      <c r="A193" s="913" t="s">
        <v>860</v>
      </c>
      <c r="B193" s="1373" t="s">
        <v>774</v>
      </c>
      <c r="C193" s="804">
        <f aca="true" t="shared" si="22" ref="C193:J193">C7/B192</f>
        <v>4.576667360670955</v>
      </c>
      <c r="D193" s="804">
        <f t="shared" si="22"/>
        <v>4.202252552814604</v>
      </c>
      <c r="E193" s="804">
        <f t="shared" si="22"/>
        <v>4.2514662441443365</v>
      </c>
      <c r="F193" s="1355">
        <f t="shared" si="22"/>
        <v>4.689516832971058</v>
      </c>
      <c r="G193" s="1354">
        <f t="shared" si="22"/>
        <v>4.640257977370529</v>
      </c>
      <c r="H193" s="804">
        <f t="shared" si="22"/>
        <v>4.644496580880425</v>
      </c>
      <c r="I193" s="804">
        <f t="shared" si="22"/>
        <v>4.581145333130165</v>
      </c>
      <c r="J193" s="1355">
        <f t="shared" si="22"/>
        <v>4.5198083085424345</v>
      </c>
      <c r="K193" s="30"/>
    </row>
    <row r="194" spans="1:11" ht="13.5" thickBot="1">
      <c r="A194" s="1371" t="s">
        <v>532</v>
      </c>
      <c r="B194" s="1372" t="s">
        <v>774</v>
      </c>
      <c r="C194" s="1293">
        <f aca="true" t="shared" si="23" ref="C194:J194">C187*C193</f>
        <v>0.10602708987257278</v>
      </c>
      <c r="D194" s="1293">
        <f t="shared" si="23"/>
        <v>0.07480560080487893</v>
      </c>
      <c r="E194" s="1293">
        <f t="shared" si="23"/>
        <v>0.10379050610511877</v>
      </c>
      <c r="F194" s="1294">
        <f t="shared" si="23"/>
        <v>0.12480786850828099</v>
      </c>
      <c r="G194" s="1292">
        <f t="shared" si="23"/>
        <v>0.13083900311175606</v>
      </c>
      <c r="H194" s="1293">
        <f t="shared" si="23"/>
        <v>0.13563856879445998</v>
      </c>
      <c r="I194" s="1293">
        <f t="shared" si="23"/>
        <v>0.1330503902051996</v>
      </c>
      <c r="J194" s="1294">
        <f t="shared" si="23"/>
        <v>0.13489991124715686</v>
      </c>
      <c r="K194" s="30"/>
    </row>
    <row r="195" ht="12.75">
      <c r="K195" s="30"/>
    </row>
    <row r="197" ht="15.75">
      <c r="F197" s="1384"/>
    </row>
  </sheetData>
  <sheetProtection/>
  <mergeCells count="43">
    <mergeCell ref="B108:F108"/>
    <mergeCell ref="B78:F78"/>
    <mergeCell ref="G78:J78"/>
    <mergeCell ref="B95:F95"/>
    <mergeCell ref="B101:F101"/>
    <mergeCell ref="G188:J188"/>
    <mergeCell ref="B125:C125"/>
    <mergeCell ref="B126:C126"/>
    <mergeCell ref="C37:F37"/>
    <mergeCell ref="G37:J37"/>
    <mergeCell ref="C42:F42"/>
    <mergeCell ref="G42:J42"/>
    <mergeCell ref="B140:C140"/>
    <mergeCell ref="B133:C133"/>
    <mergeCell ref="C38:F38"/>
    <mergeCell ref="C188:F188"/>
    <mergeCell ref="C12:F12"/>
    <mergeCell ref="C32:F32"/>
    <mergeCell ref="B116:C116"/>
    <mergeCell ref="B122:C122"/>
    <mergeCell ref="B124:C124"/>
    <mergeCell ref="B132:C132"/>
    <mergeCell ref="B130:C130"/>
    <mergeCell ref="B136:C136"/>
    <mergeCell ref="B137:C137"/>
    <mergeCell ref="G12:J12"/>
    <mergeCell ref="B118:C118"/>
    <mergeCell ref="B117:C117"/>
    <mergeCell ref="B119:C119"/>
    <mergeCell ref="C6:F6"/>
    <mergeCell ref="G32:J32"/>
    <mergeCell ref="G6:J6"/>
    <mergeCell ref="D115:F115"/>
    <mergeCell ref="B115:C115"/>
    <mergeCell ref="G38:J38"/>
    <mergeCell ref="B138:C138"/>
    <mergeCell ref="B139:C139"/>
    <mergeCell ref="D122:F122"/>
    <mergeCell ref="B129:C129"/>
    <mergeCell ref="D129:F129"/>
    <mergeCell ref="D136:F136"/>
    <mergeCell ref="B123:C123"/>
    <mergeCell ref="B131:C131"/>
  </mergeCells>
  <hyperlinks>
    <hyperlink ref="J1" location="Obsah!A1" display="Skok na obsah"/>
  </hyperlinks>
  <printOptions/>
  <pageMargins left="0.3937007874015748" right="0.3937007874015748" top="0.984251968503937" bottom="0.984251968503937" header="0.5118110236220472" footer="0.5118110236220472"/>
  <pageSetup horizontalDpi="600" verticalDpi="600" orientation="landscape" paperSize="9" r:id="rId4"/>
  <headerFooter alignWithMargins="0">
    <oddHeader>&amp;LMařík, M. a kol.: Metody oceňování podniku - 1. díl, Ekopress 2011&amp;RPříklad UNIPO, a.s.</oddHeader>
    <oddFooter>&amp;C&amp;A&amp;R&amp;"Arial CE,kurzíva"© M. Mařík, P. Maříková</oddFooter>
  </headerFooter>
  <rowBreaks count="3" manualBreakCount="3">
    <brk id="46" max="255" man="1"/>
    <brk id="79" max="255" man="1"/>
    <brk id="109" max="255" man="1"/>
  </rowBreaks>
  <drawing r:id="rId3"/>
  <legacyDrawing r:id="rId2"/>
</worksheet>
</file>

<file path=xl/worksheets/sheet1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2.75"/>
  <cols>
    <col min="1" max="1" width="41.00390625" style="0" customWidth="1"/>
    <col min="2" max="6" width="10.75390625" style="0" customWidth="1"/>
  </cols>
  <sheetData>
    <row r="1" ht="21" customHeight="1">
      <c r="A1" s="695" t="s">
        <v>582</v>
      </c>
    </row>
    <row r="2" ht="12.75">
      <c r="F2" s="1167" t="s">
        <v>672</v>
      </c>
    </row>
    <row r="3" spans="1:3" ht="12.75">
      <c r="A3" s="1" t="s">
        <v>219</v>
      </c>
      <c r="B3" s="22">
        <f>ROUND('16 Generátory'!F7/1000,0)</f>
        <v>2055</v>
      </c>
      <c r="C3" s="1" t="s">
        <v>260</v>
      </c>
    </row>
    <row r="4" ht="12.75">
      <c r="B4" s="15"/>
    </row>
    <row r="5" spans="1:9" ht="12.75">
      <c r="A5" s="899"/>
      <c r="B5" s="949">
        <f>'16 Generátory'!G10</f>
        <v>2007</v>
      </c>
      <c r="C5" s="949">
        <f>'16 Generátory'!H10</f>
        <v>2008</v>
      </c>
      <c r="D5" s="949">
        <f>'16 Generátory'!I10</f>
        <v>2009</v>
      </c>
      <c r="E5" s="949">
        <f>'16 Generátory'!J10</f>
        <v>2010</v>
      </c>
      <c r="I5" s="1416"/>
    </row>
    <row r="6" spans="1:5" ht="12.75">
      <c r="A6" s="96" t="s">
        <v>262</v>
      </c>
      <c r="B6" s="192">
        <f>'16 Generátory'!G17</f>
        <v>0.0571</v>
      </c>
      <c r="C6" s="192">
        <f>'16 Generátory'!H17</f>
        <v>0.058</v>
      </c>
      <c r="D6" s="192">
        <f>'16 Generátory'!I17</f>
        <v>0.058</v>
      </c>
      <c r="E6" s="192">
        <f>'16 Generátory'!J17</f>
        <v>0.058</v>
      </c>
    </row>
    <row r="7" spans="1:5" ht="12.75">
      <c r="A7" s="96" t="s">
        <v>263</v>
      </c>
      <c r="B7" s="192">
        <f>'16 Generátory'!C177/'16 Generátory'!G7</f>
        <v>0.019999350880629443</v>
      </c>
      <c r="C7" s="192">
        <f>'16 Generátory'!D177/'16 Generátory'!H7</f>
        <v>0.021032723161889758</v>
      </c>
      <c r="D7" s="192">
        <f>'16 Generátory'!E177/'16 Generátory'!I7</f>
        <v>0.021696199167979182</v>
      </c>
      <c r="E7" s="192">
        <f>'16 Generátory'!F177/'16 Generátory'!J7</f>
        <v>0.021152618665184253</v>
      </c>
    </row>
    <row r="8" spans="1:5" ht="12.75">
      <c r="A8" s="96" t="s">
        <v>261</v>
      </c>
      <c r="B8" s="192">
        <f>B6-B7</f>
        <v>0.037100649119370555</v>
      </c>
      <c r="C8" s="192">
        <f>C6-C7</f>
        <v>0.03696727683811024</v>
      </c>
      <c r="D8" s="192">
        <f>D6-D7</f>
        <v>0.036303800832020824</v>
      </c>
      <c r="E8" s="192">
        <f>E6-E7</f>
        <v>0.03684738133481575</v>
      </c>
    </row>
    <row r="9" spans="1:6" ht="12.75">
      <c r="A9" s="193" t="s">
        <v>813</v>
      </c>
      <c r="B9" s="194">
        <f>B8*(1-'18 Plán'!C7)</f>
        <v>0.028196493330721623</v>
      </c>
      <c r="C9" s="194">
        <f>C8*(1-'18 Plán'!D7)</f>
        <v>0.02920414870210709</v>
      </c>
      <c r="D9" s="194">
        <f>D8*(1-'18 Plán'!E7)</f>
        <v>0.02904304066561666</v>
      </c>
      <c r="E9" s="194">
        <f>E8*(1-'18 Plán'!F7)</f>
        <v>0.029846378881200758</v>
      </c>
      <c r="F9" s="5"/>
    </row>
    <row r="10" spans="1:6" ht="12.75">
      <c r="A10" s="86"/>
      <c r="B10" s="187"/>
      <c r="C10" s="187"/>
      <c r="D10" s="187"/>
      <c r="E10" s="187"/>
      <c r="F10" s="5"/>
    </row>
    <row r="11" spans="1:6" ht="12.75">
      <c r="A11" s="889" t="s">
        <v>861</v>
      </c>
      <c r="B11" s="961"/>
      <c r="C11" s="961"/>
      <c r="D11" s="961"/>
      <c r="E11" s="961">
        <f>('16 Generátory'!$F$178-'16 Generátory'!$B$178)/'16 Generátory'!C112</f>
        <v>0.16598651756906</v>
      </c>
      <c r="F11" s="1421"/>
    </row>
    <row r="12" spans="1:7" ht="12.75">
      <c r="A12" s="889" t="s">
        <v>736</v>
      </c>
      <c r="B12" s="961"/>
      <c r="C12" s="961"/>
      <c r="D12" s="961"/>
      <c r="E12" s="961">
        <f>'16 Generátory'!G78</f>
        <v>0.053427217731518054</v>
      </c>
      <c r="F12" s="1422"/>
      <c r="G12" s="15"/>
    </row>
    <row r="13" ht="12.75">
      <c r="F13" s="5"/>
    </row>
    <row r="14" spans="1:6" ht="12.75">
      <c r="A14" s="1525" t="s">
        <v>585</v>
      </c>
      <c r="B14" s="1525" t="s">
        <v>583</v>
      </c>
      <c r="C14" s="1524" t="s">
        <v>584</v>
      </c>
      <c r="D14" s="1524"/>
      <c r="E14" s="1524"/>
      <c r="F14" s="5"/>
    </row>
    <row r="15" spans="1:6" ht="12.75">
      <c r="A15" s="1526"/>
      <c r="B15" s="1526"/>
      <c r="C15" s="1131" t="s">
        <v>216</v>
      </c>
      <c r="D15" s="1131" t="s">
        <v>217</v>
      </c>
      <c r="E15" s="1131" t="s">
        <v>218</v>
      </c>
      <c r="F15" s="5"/>
    </row>
    <row r="16" spans="1:6" ht="12.75">
      <c r="A16" s="952" t="s">
        <v>210</v>
      </c>
      <c r="B16" s="953" t="s">
        <v>211</v>
      </c>
      <c r="C16" s="954">
        <v>0.025</v>
      </c>
      <c r="D16" s="954">
        <v>0.03</v>
      </c>
      <c r="E16" s="954">
        <v>0.045</v>
      </c>
      <c r="F16" s="5"/>
    </row>
    <row r="17" spans="1:6" ht="19.5" customHeight="1">
      <c r="A17" s="952" t="s">
        <v>424</v>
      </c>
      <c r="B17" s="953" t="s">
        <v>586</v>
      </c>
      <c r="C17" s="954">
        <v>0.028</v>
      </c>
      <c r="D17" s="954">
        <v>0.03</v>
      </c>
      <c r="E17" s="954">
        <v>0.032</v>
      </c>
      <c r="F17" s="5"/>
    </row>
    <row r="18" spans="1:6" ht="19.5" customHeight="1">
      <c r="A18" s="955" t="s">
        <v>212</v>
      </c>
      <c r="B18" s="956"/>
      <c r="C18" s="957"/>
      <c r="D18" s="957"/>
      <c r="E18" s="957"/>
      <c r="F18" s="5"/>
    </row>
    <row r="19" spans="1:6" ht="15.75">
      <c r="A19" s="955" t="s">
        <v>213</v>
      </c>
      <c r="B19" s="956" t="s">
        <v>587</v>
      </c>
      <c r="C19" s="1408">
        <v>0.055</v>
      </c>
      <c r="D19" s="1408">
        <v>0.05</v>
      </c>
      <c r="E19" s="1408">
        <v>0.045</v>
      </c>
      <c r="F19" s="5"/>
    </row>
    <row r="20" spans="1:6" ht="15.75">
      <c r="A20" s="955" t="s">
        <v>214</v>
      </c>
      <c r="B20" s="956" t="s">
        <v>865</v>
      </c>
      <c r="C20" s="1408">
        <v>0.18</v>
      </c>
      <c r="D20" s="1408">
        <v>0.17</v>
      </c>
      <c r="E20" s="1408">
        <v>0.16</v>
      </c>
      <c r="F20" s="5"/>
    </row>
    <row r="21" spans="1:6" ht="12.75">
      <c r="A21" s="958" t="s">
        <v>302</v>
      </c>
      <c r="B21" s="959"/>
      <c r="C21" s="1409">
        <f>C19+C20</f>
        <v>0.235</v>
      </c>
      <c r="D21" s="1409">
        <f>D19+D20</f>
        <v>0.22000000000000003</v>
      </c>
      <c r="E21" s="1409">
        <f>E19+E20</f>
        <v>0.20500000000000002</v>
      </c>
      <c r="F21" s="5"/>
    </row>
    <row r="22" spans="1:6" ht="15.75">
      <c r="A22" s="958" t="s">
        <v>215</v>
      </c>
      <c r="B22" s="960" t="s">
        <v>588</v>
      </c>
      <c r="C22" s="1409">
        <v>0.12</v>
      </c>
      <c r="D22" s="1409">
        <v>0.1</v>
      </c>
      <c r="E22" s="1409">
        <v>0.1</v>
      </c>
      <c r="F22" s="5"/>
    </row>
    <row r="23" spans="1:6" ht="12.75">
      <c r="A23" s="978" t="s">
        <v>589</v>
      </c>
      <c r="B23" s="979"/>
      <c r="C23" s="1404">
        <f>($B$3*(1+C16)*C17-$B$3*C16*C21)/(C22-C16)</f>
        <v>493.7407894736843</v>
      </c>
      <c r="D23" s="1404">
        <f>($B$3*(1+D16)*D17-$B$3*D16*D21)/(D22-D16)</f>
        <v>713.3785714285713</v>
      </c>
      <c r="E23" s="1404">
        <f>($B$3*(1+E16)*E17-$B$3*E16*E21)/(E22-E16)</f>
        <v>904.7604545454544</v>
      </c>
      <c r="F23" s="5"/>
    </row>
    <row r="26" spans="1:7" ht="12.75">
      <c r="A26" s="962" t="s">
        <v>264</v>
      </c>
      <c r="G26" s="5"/>
    </row>
    <row r="27" spans="1:7" ht="12.75">
      <c r="A27" s="899" t="s">
        <v>211</v>
      </c>
      <c r="B27" s="964">
        <v>0.01</v>
      </c>
      <c r="C27" s="964">
        <v>0.02</v>
      </c>
      <c r="D27" s="964">
        <v>0.03</v>
      </c>
      <c r="E27" s="964">
        <v>0.04</v>
      </c>
      <c r="F27" s="964">
        <v>0.05</v>
      </c>
      <c r="G27" s="5"/>
    </row>
    <row r="28" spans="1:7" ht="12.75">
      <c r="A28" s="966" t="s">
        <v>589</v>
      </c>
      <c r="B28" s="980">
        <f>($B$3*(1+B27)*$D$17-$B$3*B27*$D$21)/($D$22-B27)</f>
        <v>641.6166666666666</v>
      </c>
      <c r="C28" s="980">
        <f>($B$3*(1+C27)*$D$17-$B$3*C27*$D$21)/($D$22-C27)</f>
        <v>673.0124999999999</v>
      </c>
      <c r="D28" s="980">
        <f>($B$3*(1+D27)*$D$17-$B$3*D27*$D$21)/($D$22-D27)</f>
        <v>713.3785714285713</v>
      </c>
      <c r="E28" s="980">
        <f>($B$3*(1+E27)*$D$17-$B$3*E27*$D$21)/($D$22-E27)</f>
        <v>767.1999999999999</v>
      </c>
      <c r="F28" s="980">
        <f>($B$3*(1+F27)*$D$17-$B$3*F27*$D$21)/($D$22-F27)</f>
        <v>842.55</v>
      </c>
      <c r="G28" s="5"/>
    </row>
    <row r="29" spans="1:7" ht="12.75">
      <c r="A29" s="96" t="s">
        <v>806</v>
      </c>
      <c r="B29" s="963">
        <f>(B28-$D$28)/$D$28</f>
        <v>-0.10059442158207585</v>
      </c>
      <c r="C29" s="963">
        <f>(C28-$D$28)/$D$28</f>
        <v>-0.05658436213991757</v>
      </c>
      <c r="D29" s="963">
        <f>(D28-$D$28)/$D$28</f>
        <v>0</v>
      </c>
      <c r="E29" s="963">
        <f>(E28-$D$28)/$D$28</f>
        <v>0.07544581618655709</v>
      </c>
      <c r="F29" s="963">
        <f>(F28-$D$28)/$D$28</f>
        <v>0.18106995884773683</v>
      </c>
      <c r="G29" s="5"/>
    </row>
    <row r="30" spans="2:8" ht="15.75">
      <c r="B30" s="80"/>
      <c r="C30" s="80"/>
      <c r="D30" s="80"/>
      <c r="E30" s="80"/>
      <c r="F30" s="80"/>
      <c r="G30" s="5"/>
      <c r="H30" s="1384"/>
    </row>
    <row r="31" spans="2:7" ht="12.75">
      <c r="B31" s="79"/>
      <c r="C31" s="79"/>
      <c r="D31" s="79"/>
      <c r="E31" s="79"/>
      <c r="F31" s="79"/>
      <c r="G31" s="5"/>
    </row>
  </sheetData>
  <sheetProtection/>
  <mergeCells count="3">
    <mergeCell ref="C14:E14"/>
    <mergeCell ref="A14:A15"/>
    <mergeCell ref="B14:B15"/>
  </mergeCells>
  <hyperlinks>
    <hyperlink ref="F2"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worksheet>
</file>

<file path=xl/worksheets/sheet19.xml><?xml version="1.0" encoding="utf-8"?>
<worksheet xmlns="http://schemas.openxmlformats.org/spreadsheetml/2006/main" xmlns:r="http://schemas.openxmlformats.org/officeDocument/2006/relationships">
  <dimension ref="A1:L271"/>
  <sheetViews>
    <sheetView zoomScalePageLayoutView="0" workbookViewId="0" topLeftCell="A1">
      <selection activeCell="A1" sqref="A1"/>
    </sheetView>
  </sheetViews>
  <sheetFormatPr defaultColWidth="9.00390625" defaultRowHeight="12.75"/>
  <cols>
    <col min="1" max="1" width="47.25390625" style="30" customWidth="1"/>
    <col min="2" max="6" width="9.875" style="30" customWidth="1"/>
    <col min="7" max="16384" width="9.125" style="30" customWidth="1"/>
  </cols>
  <sheetData>
    <row r="1" spans="1:6" ht="20.25" customHeight="1">
      <c r="A1" s="695" t="s">
        <v>578</v>
      </c>
      <c r="F1" s="1167" t="s">
        <v>672</v>
      </c>
    </row>
    <row r="2" ht="12.75"/>
    <row r="3" spans="1:6" ht="20.25">
      <c r="A3" s="196" t="s">
        <v>456</v>
      </c>
      <c r="C3" s="526" t="s">
        <v>449</v>
      </c>
      <c r="D3" s="527"/>
      <c r="E3" s="527"/>
      <c r="F3" s="1411">
        <v>0.05</v>
      </c>
    </row>
    <row r="4" spans="1:6" ht="15" customHeight="1">
      <c r="A4" s="196"/>
      <c r="C4" s="528" t="s">
        <v>450</v>
      </c>
      <c r="F4" s="529">
        <v>0.055</v>
      </c>
    </row>
    <row r="5" spans="1:6" ht="15" customHeight="1">
      <c r="A5" s="196"/>
      <c r="C5" s="530" t="s">
        <v>451</v>
      </c>
      <c r="D5" s="531"/>
      <c r="E5" s="531"/>
      <c r="F5" s="532">
        <v>0.04</v>
      </c>
    </row>
    <row r="6" ht="15" customHeight="1">
      <c r="A6" s="196"/>
    </row>
    <row r="7" spans="1:6" ht="15" customHeight="1">
      <c r="A7" s="114" t="s">
        <v>814</v>
      </c>
      <c r="B7" s="1410">
        <v>0.24</v>
      </c>
      <c r="C7" s="1410">
        <v>0.24</v>
      </c>
      <c r="D7" s="1410">
        <v>0.21</v>
      </c>
      <c r="E7" s="1410">
        <v>0.2</v>
      </c>
      <c r="F7" s="1410">
        <v>0.19</v>
      </c>
    </row>
    <row r="8" spans="1:5" ht="12.75" customHeight="1">
      <c r="A8" s="196"/>
      <c r="E8" s="264"/>
    </row>
    <row r="9" spans="1:5" ht="18.75" thickBot="1">
      <c r="A9" s="347" t="s">
        <v>418</v>
      </c>
      <c r="E9" s="264"/>
    </row>
    <row r="10" spans="1:6" ht="13.5" thickBot="1">
      <c r="A10" s="944" t="s">
        <v>208</v>
      </c>
      <c r="B10" s="945">
        <f>výchozí_rok+4</f>
        <v>2006</v>
      </c>
      <c r="C10" s="946">
        <f>B10+1</f>
        <v>2007</v>
      </c>
      <c r="D10" s="947">
        <f>C10+1</f>
        <v>2008</v>
      </c>
      <c r="E10" s="947">
        <f>D10+1</f>
        <v>2009</v>
      </c>
      <c r="F10" s="948">
        <f>E10+1</f>
        <v>2010</v>
      </c>
    </row>
    <row r="11" spans="1:6" ht="12.75">
      <c r="A11" s="35" t="s">
        <v>64</v>
      </c>
      <c r="B11" s="397">
        <f>'8 Výsledovka'!H5</f>
        <v>2054958</v>
      </c>
      <c r="C11" s="398">
        <f>'16 Generátory'!G7</f>
        <v>2268673.632</v>
      </c>
      <c r="D11" s="399">
        <f>'16 Generátory'!H7</f>
        <v>2411600.070816</v>
      </c>
      <c r="E11" s="399">
        <f>'16 Generátory'!I7</f>
        <v>2537003.274498432</v>
      </c>
      <c r="F11" s="400">
        <f>'16 Generátory'!J7</f>
        <v>2653705.42512536</v>
      </c>
    </row>
    <row r="12" spans="1:6" ht="12.75">
      <c r="A12" s="35" t="s">
        <v>65</v>
      </c>
      <c r="B12" s="397">
        <f>'8 Výsledovka'!H6</f>
        <v>1771536</v>
      </c>
      <c r="C12" s="398">
        <f>'16 Generátory'!G29</f>
        <v>1955823.5381472001</v>
      </c>
      <c r="D12" s="399">
        <f>'16 Generátory'!H29</f>
        <v>2078799.261043392</v>
      </c>
      <c r="E12" s="399">
        <f>'16 Generátory'!I29</f>
        <v>2186896.822617648</v>
      </c>
      <c r="F12" s="400">
        <f>'16 Generátory'!J29</f>
        <v>2287494.07645806</v>
      </c>
    </row>
    <row r="13" spans="1:6" ht="13.5" thickBot="1">
      <c r="A13" s="77" t="s">
        <v>67</v>
      </c>
      <c r="B13" s="401">
        <f>B11-B12</f>
        <v>283422</v>
      </c>
      <c r="C13" s="402">
        <f>C11-C12</f>
        <v>312850.0938528001</v>
      </c>
      <c r="D13" s="403">
        <f>D11-D12</f>
        <v>332800.8097726081</v>
      </c>
      <c r="E13" s="403">
        <f>E11-E12</f>
        <v>350106.4518807838</v>
      </c>
      <c r="F13" s="404">
        <f>F11-F12</f>
        <v>366211.34866729984</v>
      </c>
    </row>
    <row r="14" spans="1:12" ht="12.75">
      <c r="A14" s="35" t="s">
        <v>69</v>
      </c>
      <c r="B14" s="397">
        <f>'8 Výsledovka'!H8</f>
        <v>31198</v>
      </c>
      <c r="C14" s="398">
        <f>'16 Generátory'!G34</f>
        <v>34483.83920639998</v>
      </c>
      <c r="D14" s="399">
        <f>'16 Generátory'!H34</f>
        <v>36897.48108348483</v>
      </c>
      <c r="E14" s="399">
        <f>'16 Generátory'!I34</f>
        <v>38055.049117476505</v>
      </c>
      <c r="F14" s="400">
        <f>'16 Generátory'!J34</f>
        <v>38478.72866431775</v>
      </c>
      <c r="H14" s="331"/>
      <c r="I14" s="331"/>
      <c r="J14" s="331"/>
      <c r="K14" s="331"/>
      <c r="L14" s="331"/>
    </row>
    <row r="15" spans="1:6" ht="13.5" thickBot="1">
      <c r="A15" s="77" t="s">
        <v>70</v>
      </c>
      <c r="B15" s="401">
        <f>B13-B14</f>
        <v>252224</v>
      </c>
      <c r="C15" s="402">
        <f>C13-C14</f>
        <v>278366.2546464001</v>
      </c>
      <c r="D15" s="403">
        <f>D13-D14</f>
        <v>295903.3286891233</v>
      </c>
      <c r="E15" s="403">
        <f>E13-E14</f>
        <v>312051.40276330727</v>
      </c>
      <c r="F15" s="404">
        <f>F13-F14</f>
        <v>327732.6200029821</v>
      </c>
    </row>
    <row r="16" spans="1:6" ht="12.75">
      <c r="A16" s="35" t="s">
        <v>71</v>
      </c>
      <c r="B16" s="397">
        <f>'8 Výsledovka'!H10</f>
        <v>129686</v>
      </c>
      <c r="C16" s="398">
        <f>'16 Generátory'!G40</f>
        <v>142156.86727392726</v>
      </c>
      <c r="D16" s="399">
        <f>'16 Generátory'!H40</f>
        <v>148942.30984845027</v>
      </c>
      <c r="E16" s="399">
        <f>'16 Generátory'!I40</f>
        <v>157448.41094291917</v>
      </c>
      <c r="F16" s="400">
        <f>'16 Generátory'!J40</f>
        <v>166017.89055885613</v>
      </c>
    </row>
    <row r="17" spans="1:6" ht="12.75">
      <c r="A17" s="35" t="s">
        <v>75</v>
      </c>
      <c r="B17" s="397">
        <f>'8 Výsledovka'!H13</f>
        <v>4110</v>
      </c>
      <c r="C17" s="398">
        <f>C11*'16 Generátory'!G26</f>
        <v>6668.122985272752</v>
      </c>
      <c r="D17" s="399">
        <f>D11*'16 Generátory'!H26</f>
        <v>7088.214733344935</v>
      </c>
      <c r="E17" s="399">
        <f>E11*'16 Generátory'!I26</f>
        <v>7456.801899478872</v>
      </c>
      <c r="F17" s="400">
        <f>F11*'16 Generátory'!J26</f>
        <v>7799.8147868549</v>
      </c>
    </row>
    <row r="18" spans="1:6" ht="12.75">
      <c r="A18" s="58" t="s">
        <v>207</v>
      </c>
      <c r="B18" s="405">
        <f>'8 Výsledovka'!H14</f>
        <v>45372</v>
      </c>
      <c r="C18" s="406">
        <f>'16 Generátory'!C177</f>
        <v>45372</v>
      </c>
      <c r="D18" s="407">
        <f>'16 Generátory'!D177</f>
        <v>50722.51666666666</v>
      </c>
      <c r="E18" s="407">
        <f>'16 Generátory'!E177</f>
        <v>55043.32833333334</v>
      </c>
      <c r="F18" s="408">
        <f>'16 Generátory'!F177</f>
        <v>56132.8189074074</v>
      </c>
    </row>
    <row r="19" spans="1:6" ht="12.75">
      <c r="A19" s="35" t="s">
        <v>408</v>
      </c>
      <c r="B19" s="397">
        <f>'8 Výsledovka'!H17</f>
        <v>1094</v>
      </c>
      <c r="C19" s="398">
        <v>0</v>
      </c>
      <c r="D19" s="399">
        <v>0</v>
      </c>
      <c r="E19" s="399">
        <v>0</v>
      </c>
      <c r="F19" s="400">
        <v>0</v>
      </c>
    </row>
    <row r="20" spans="1:6" ht="13.5" thickBot="1">
      <c r="A20" s="482" t="s">
        <v>423</v>
      </c>
      <c r="B20" s="483">
        <f>B15-B16-B17-B18-B19</f>
        <v>71962</v>
      </c>
      <c r="C20" s="484">
        <f>C15-SUM(C16:C19)</f>
        <v>84169.26438720009</v>
      </c>
      <c r="D20" s="485">
        <f>D15-SUM(D16:D19)</f>
        <v>89150.2874406614</v>
      </c>
      <c r="E20" s="485">
        <f>E15-SUM(E16:E19)</f>
        <v>92102.8615875759</v>
      </c>
      <c r="F20" s="486">
        <f>F15-SUM(F16:F19)</f>
        <v>97782.09574986366</v>
      </c>
    </row>
    <row r="21" spans="1:6" ht="12.75">
      <c r="A21" s="349"/>
      <c r="B21" s="350"/>
      <c r="C21" s="350"/>
      <c r="D21" s="350"/>
      <c r="E21" s="350"/>
      <c r="F21" s="350"/>
    </row>
    <row r="22" spans="1:6" ht="18.75" thickBot="1">
      <c r="A22" s="351" t="s">
        <v>419</v>
      </c>
      <c r="B22" s="352"/>
      <c r="C22" s="352"/>
      <c r="D22" s="352"/>
      <c r="E22" s="352"/>
      <c r="F22" s="352"/>
    </row>
    <row r="23" spans="1:6" ht="13.5" thickBot="1">
      <c r="A23" s="944" t="s">
        <v>208</v>
      </c>
      <c r="B23" s="945">
        <f>výchozí_rok+4</f>
        <v>2006</v>
      </c>
      <c r="C23" s="946">
        <f>B23+1</f>
        <v>2007</v>
      </c>
      <c r="D23" s="947">
        <f>C23+1</f>
        <v>2008</v>
      </c>
      <c r="E23" s="947">
        <f>D23+1</f>
        <v>2009</v>
      </c>
      <c r="F23" s="948">
        <f>E23+1</f>
        <v>2010</v>
      </c>
    </row>
    <row r="24" spans="1:6" ht="13.5" thickBot="1">
      <c r="A24" s="503" t="s">
        <v>88</v>
      </c>
      <c r="B24" s="504">
        <f>'8 Výsledovka'!H21</f>
        <v>10536</v>
      </c>
      <c r="C24" s="505">
        <f>$F$3*B134+$F$4*B141+$F$5*B142</f>
        <v>8746.77</v>
      </c>
      <c r="D24" s="506">
        <f>$F$3*C134+$F$4*C141+$F$5*C142</f>
        <v>8746.77</v>
      </c>
      <c r="E24" s="506">
        <f>$F$3*D134+$F$4*D141+$F$5*D142</f>
        <v>8746.77</v>
      </c>
      <c r="F24" s="507">
        <f>$F$3*E134+$F$4*E141+$F$5*E142</f>
        <v>8746.77</v>
      </c>
    </row>
    <row r="25" spans="1:6" ht="12.75">
      <c r="A25" s="197"/>
      <c r="B25" s="29"/>
      <c r="C25" s="29"/>
      <c r="D25" s="29"/>
      <c r="E25" s="29"/>
      <c r="F25" s="29"/>
    </row>
    <row r="26" spans="1:5" ht="18.75" thickBot="1">
      <c r="A26" s="347" t="s">
        <v>420</v>
      </c>
      <c r="B26" s="199"/>
      <c r="C26" s="200"/>
      <c r="D26" s="182"/>
      <c r="E26" s="533"/>
    </row>
    <row r="27" spans="1:6" ht="13.5" thickBot="1">
      <c r="A27" s="944" t="s">
        <v>208</v>
      </c>
      <c r="B27" s="945">
        <f>výchozí_rok+4</f>
        <v>2006</v>
      </c>
      <c r="C27" s="946">
        <f>B27+1</f>
        <v>2007</v>
      </c>
      <c r="D27" s="947">
        <f>C27+1</f>
        <v>2008</v>
      </c>
      <c r="E27" s="947">
        <f>D27+1</f>
        <v>2009</v>
      </c>
      <c r="F27" s="948">
        <f>E27+1</f>
        <v>2010</v>
      </c>
    </row>
    <row r="28" spans="1:6" ht="12.75">
      <c r="A28" s="35" t="s">
        <v>83</v>
      </c>
      <c r="B28" s="397">
        <f>'8 Výsledovka'!H19</f>
        <v>63.7</v>
      </c>
      <c r="C28" s="398">
        <f>B28</f>
        <v>63.7</v>
      </c>
      <c r="D28" s="399">
        <f>C28</f>
        <v>63.7</v>
      </c>
      <c r="E28" s="399">
        <f>D28</f>
        <v>63.7</v>
      </c>
      <c r="F28" s="400">
        <f>E28</f>
        <v>63.7</v>
      </c>
    </row>
    <row r="29" spans="1:6" ht="12.75">
      <c r="A29" s="35" t="s">
        <v>86</v>
      </c>
      <c r="B29" s="397">
        <f>'8 Výsledovka'!H20</f>
        <v>149.57208558023387</v>
      </c>
      <c r="C29" s="398">
        <f>B117*0.005</f>
        <v>172.07131950543874</v>
      </c>
      <c r="D29" s="399">
        <f>C117*0.005</f>
        <v>232.176368697769</v>
      </c>
      <c r="E29" s="399">
        <f>D117*0.005</f>
        <v>270.116908625231</v>
      </c>
      <c r="F29" s="400">
        <f>E117*0.005</f>
        <v>302.0710193275584</v>
      </c>
    </row>
    <row r="30" spans="1:6" ht="13.5" thickBot="1">
      <c r="A30" s="482" t="s">
        <v>421</v>
      </c>
      <c r="B30" s="483">
        <f>B28+B29</f>
        <v>213.27208558023386</v>
      </c>
      <c r="C30" s="484">
        <f>C28+C29</f>
        <v>235.77131950543873</v>
      </c>
      <c r="D30" s="485">
        <f>D28+D29</f>
        <v>295.876368697769</v>
      </c>
      <c r="E30" s="485">
        <f>E28+E29</f>
        <v>333.816908625231</v>
      </c>
      <c r="F30" s="486">
        <f>F28+F29</f>
        <v>365.7710193275584</v>
      </c>
    </row>
    <row r="31" spans="1:6" ht="12.75">
      <c r="A31" s="349"/>
      <c r="B31" s="557"/>
      <c r="C31" s="557"/>
      <c r="D31" s="557"/>
      <c r="E31" s="557"/>
      <c r="F31" s="557"/>
    </row>
    <row r="32" spans="1:6" ht="18.75" thickBot="1">
      <c r="A32" s="351" t="s">
        <v>422</v>
      </c>
      <c r="B32" s="558"/>
      <c r="C32" s="558"/>
      <c r="D32" s="558"/>
      <c r="E32" s="558"/>
      <c r="F32" s="558"/>
    </row>
    <row r="33" spans="1:6" ht="13.5" thickBot="1">
      <c r="A33" s="944" t="s">
        <v>208</v>
      </c>
      <c r="B33" s="945">
        <f>výchozí_rok+4</f>
        <v>2006</v>
      </c>
      <c r="C33" s="946">
        <f>B33+1</f>
        <v>2007</v>
      </c>
      <c r="D33" s="947">
        <f>C33+1</f>
        <v>2008</v>
      </c>
      <c r="E33" s="947">
        <f>D33+1</f>
        <v>2009</v>
      </c>
      <c r="F33" s="948">
        <f>E33+1</f>
        <v>2010</v>
      </c>
    </row>
    <row r="34" spans="1:6" ht="12.75">
      <c r="A34" s="33" t="s">
        <v>445</v>
      </c>
      <c r="B34" s="412">
        <f>'8 Výsledovka'!H25-'8 Výsledovka'!H26</f>
        <v>2362</v>
      </c>
      <c r="C34" s="413">
        <v>0</v>
      </c>
      <c r="D34" s="414">
        <v>0</v>
      </c>
      <c r="E34" s="414">
        <v>0</v>
      </c>
      <c r="F34" s="415">
        <v>0</v>
      </c>
    </row>
    <row r="35" spans="1:6" ht="12.75">
      <c r="A35" s="348" t="s">
        <v>446</v>
      </c>
      <c r="B35" s="412">
        <f>'8 Výsledovka'!H30</f>
        <v>64001.27208558023</v>
      </c>
      <c r="C35" s="413">
        <f>C20-C24+C30</f>
        <v>75658.26570670553</v>
      </c>
      <c r="D35" s="414">
        <f>D20-D24+D30</f>
        <v>80699.39380935916</v>
      </c>
      <c r="E35" s="414">
        <f>E20-E24+E30</f>
        <v>83689.90849620113</v>
      </c>
      <c r="F35" s="415">
        <f>F20-F24+F30</f>
        <v>89401.09676919121</v>
      </c>
    </row>
    <row r="36" spans="1:6" ht="13.5" thickBot="1">
      <c r="A36" s="35" t="s">
        <v>425</v>
      </c>
      <c r="B36" s="397">
        <f>'8 Výsledovka'!H23+'8 Výsledovka'!H27</f>
        <v>15291.425300539255</v>
      </c>
      <c r="C36" s="398">
        <f>C35*C7</f>
        <v>18157.983769609327</v>
      </c>
      <c r="D36" s="399">
        <f>D35*D7</f>
        <v>16946.87269996542</v>
      </c>
      <c r="E36" s="399">
        <f>E35*E7</f>
        <v>16737.981699240227</v>
      </c>
      <c r="F36" s="400">
        <f>F35*F7</f>
        <v>16986.20838614633</v>
      </c>
    </row>
    <row r="37" spans="1:8" ht="13.5" thickBot="1">
      <c r="A37" s="487" t="s">
        <v>435</v>
      </c>
      <c r="B37" s="488">
        <f>B35-B36</f>
        <v>48709.84678504098</v>
      </c>
      <c r="C37" s="489">
        <f>C35-C36</f>
        <v>57500.281937096195</v>
      </c>
      <c r="D37" s="490">
        <f>D35-D36</f>
        <v>63752.52110939374</v>
      </c>
      <c r="E37" s="490">
        <f>E35-E36</f>
        <v>66951.9267969609</v>
      </c>
      <c r="F37" s="491">
        <f>F35-F36</f>
        <v>72414.88838304488</v>
      </c>
      <c r="H37" s="417"/>
    </row>
    <row r="38" spans="2:6" ht="38.25" customHeight="1">
      <c r="B38" s="417"/>
      <c r="C38" s="417"/>
      <c r="D38" s="417"/>
      <c r="E38" s="417"/>
      <c r="F38" s="417"/>
    </row>
    <row r="39" spans="1:6" ht="21" thickBot="1">
      <c r="A39" s="196" t="s">
        <v>457</v>
      </c>
      <c r="B39" s="417"/>
      <c r="C39" s="417"/>
      <c r="D39" s="417"/>
      <c r="E39" s="417"/>
      <c r="F39" s="417"/>
    </row>
    <row r="40" spans="1:6" ht="13.5" thickBot="1">
      <c r="A40" s="944" t="s">
        <v>208</v>
      </c>
      <c r="B40" s="945">
        <f>výchozí_rok+4</f>
        <v>2006</v>
      </c>
      <c r="C40" s="946">
        <f>B40+1</f>
        <v>2007</v>
      </c>
      <c r="D40" s="947">
        <f>C40+1</f>
        <v>2008</v>
      </c>
      <c r="E40" s="947">
        <f>D40+1</f>
        <v>2009</v>
      </c>
      <c r="F40" s="948">
        <f>E40+1</f>
        <v>2010</v>
      </c>
    </row>
    <row r="41" spans="1:6" ht="13.5" thickBot="1">
      <c r="A41" s="201" t="s">
        <v>100</v>
      </c>
      <c r="B41" s="418">
        <f>'9 Cash flow'!F4</f>
        <v>29914.417116046774</v>
      </c>
      <c r="C41" s="419">
        <f>B95</f>
        <v>34414.26390108775</v>
      </c>
      <c r="D41" s="420">
        <f>C95</f>
        <v>46435.2737395538</v>
      </c>
      <c r="E41" s="421">
        <f>D95</f>
        <v>54023.3817250462</v>
      </c>
      <c r="F41" s="422">
        <f>E95</f>
        <v>60414.203865511685</v>
      </c>
    </row>
    <row r="42" spans="1:6" ht="8.25" customHeight="1">
      <c r="A42" s="354"/>
      <c r="B42" s="423"/>
      <c r="C42" s="423"/>
      <c r="D42" s="423"/>
      <c r="E42" s="423"/>
      <c r="F42" s="423"/>
    </row>
    <row r="43" spans="1:6" ht="18.75" thickBot="1">
      <c r="A43" s="351" t="s">
        <v>426</v>
      </c>
      <c r="B43" s="424"/>
      <c r="C43" s="424"/>
      <c r="D43" s="424"/>
      <c r="E43" s="424"/>
      <c r="F43" s="424"/>
    </row>
    <row r="44" spans="1:6" ht="13.5" thickBot="1">
      <c r="A44" s="944" t="s">
        <v>208</v>
      </c>
      <c r="B44" s="945">
        <f>výchozí_rok+4</f>
        <v>2006</v>
      </c>
      <c r="C44" s="946">
        <f>B44+1</f>
        <v>2007</v>
      </c>
      <c r="D44" s="947">
        <f>C44+1</f>
        <v>2008</v>
      </c>
      <c r="E44" s="947">
        <f>D44+1</f>
        <v>2009</v>
      </c>
      <c r="F44" s="948">
        <f>E44+1</f>
        <v>2010</v>
      </c>
    </row>
    <row r="45" spans="1:6" ht="12.75">
      <c r="A45" s="355" t="s">
        <v>431</v>
      </c>
      <c r="B45" s="358"/>
      <c r="C45" s="359"/>
      <c r="D45" s="360"/>
      <c r="E45" s="361"/>
      <c r="F45" s="362"/>
    </row>
    <row r="46" spans="1:6" ht="12.75">
      <c r="A46" s="34" t="s">
        <v>817</v>
      </c>
      <c r="B46" s="363">
        <f>B20</f>
        <v>71962</v>
      </c>
      <c r="C46" s="364">
        <f>C20</f>
        <v>84169.26438720009</v>
      </c>
      <c r="D46" s="365">
        <f>D20</f>
        <v>89150.2874406614</v>
      </c>
      <c r="E46" s="366">
        <f>E20</f>
        <v>92102.8615875759</v>
      </c>
      <c r="F46" s="367">
        <f>F20</f>
        <v>97782.09574986366</v>
      </c>
    </row>
    <row r="47" spans="1:6" ht="12.75">
      <c r="A47" s="35" t="s">
        <v>818</v>
      </c>
      <c r="B47" s="368">
        <f>B46*B7</f>
        <v>17270.88</v>
      </c>
      <c r="C47" s="369">
        <f>C46*C7</f>
        <v>20200.623452928023</v>
      </c>
      <c r="D47" s="370">
        <f>D46*D7</f>
        <v>18721.560362538894</v>
      </c>
      <c r="E47" s="371">
        <f>E46*E7</f>
        <v>18420.57231751518</v>
      </c>
      <c r="F47" s="372">
        <f>F46*F7</f>
        <v>18578.598192474095</v>
      </c>
    </row>
    <row r="48" spans="1:7" ht="12.75">
      <c r="A48" s="203" t="s">
        <v>819</v>
      </c>
      <c r="B48" s="373">
        <f>B46-B47</f>
        <v>54691.119999999995</v>
      </c>
      <c r="C48" s="374">
        <f>C46-C47</f>
        <v>63968.64093427207</v>
      </c>
      <c r="D48" s="375">
        <f>D46-D47</f>
        <v>70428.72707812251</v>
      </c>
      <c r="E48" s="376">
        <f>E46-E47</f>
        <v>73682.28927006072</v>
      </c>
      <c r="F48" s="377">
        <f>F46-F47</f>
        <v>79203.49755738956</v>
      </c>
      <c r="G48" s="417"/>
    </row>
    <row r="49" spans="1:7" ht="12.75">
      <c r="A49" s="34" t="s">
        <v>104</v>
      </c>
      <c r="B49" s="363">
        <f>SUM(B50:B51)</f>
        <v>46466</v>
      </c>
      <c r="C49" s="364">
        <f>SUM(C50:C51)</f>
        <v>45372</v>
      </c>
      <c r="D49" s="365">
        <f>SUM(D50:D51)</f>
        <v>50722.51666666666</v>
      </c>
      <c r="E49" s="366">
        <f>SUM(E50:E51)</f>
        <v>55043.32833333334</v>
      </c>
      <c r="F49" s="367">
        <f>SUM(F50:F51)</f>
        <v>56132.8189074074</v>
      </c>
      <c r="G49" s="417"/>
    </row>
    <row r="50" spans="1:6" ht="12.75">
      <c r="A50" s="35" t="s">
        <v>428</v>
      </c>
      <c r="B50" s="368">
        <f>'9 Cash flow'!F8</f>
        <v>45372</v>
      </c>
      <c r="C50" s="369">
        <f aca="true" t="shared" si="0" ref="C50:F51">C18</f>
        <v>45372</v>
      </c>
      <c r="D50" s="370">
        <f t="shared" si="0"/>
        <v>50722.51666666666</v>
      </c>
      <c r="E50" s="371">
        <f t="shared" si="0"/>
        <v>55043.32833333334</v>
      </c>
      <c r="F50" s="372">
        <f t="shared" si="0"/>
        <v>56132.8189074074</v>
      </c>
    </row>
    <row r="51" spans="1:6" ht="12.75">
      <c r="A51" s="58" t="s">
        <v>108</v>
      </c>
      <c r="B51" s="378">
        <f>'9 Cash flow'!F9</f>
        <v>1094</v>
      </c>
      <c r="C51" s="379">
        <f t="shared" si="0"/>
        <v>0</v>
      </c>
      <c r="D51" s="380">
        <f t="shared" si="0"/>
        <v>0</v>
      </c>
      <c r="E51" s="381">
        <f t="shared" si="0"/>
        <v>0</v>
      </c>
      <c r="F51" s="382">
        <f t="shared" si="0"/>
        <v>0</v>
      </c>
    </row>
    <row r="52" spans="1:7" ht="12.75">
      <c r="A52" s="34" t="s">
        <v>429</v>
      </c>
      <c r="B52" s="363">
        <f>SUM(B53:B55)</f>
        <v>-15856</v>
      </c>
      <c r="C52" s="364">
        <f>SUM(C53:C55)</f>
        <v>1532.2279013698426</v>
      </c>
      <c r="D52" s="365">
        <f>SUM(D53:D55)</f>
        <v>-6802.913123901351</v>
      </c>
      <c r="E52" s="366">
        <f>SUM(E53:E55)</f>
        <v>-13026.604656495416</v>
      </c>
      <c r="F52" s="367">
        <f>SUM(F53:F55)</f>
        <v>-1055.1153344352351</v>
      </c>
      <c r="G52" s="417"/>
    </row>
    <row r="53" spans="1:11" ht="12.75">
      <c r="A53" s="35" t="s">
        <v>113</v>
      </c>
      <c r="B53" s="368">
        <f>'9 Cash flow'!F12</f>
        <v>-16942</v>
      </c>
      <c r="C53" s="369">
        <f>-('16 Generátory'!G72-'16 Generátory'!F72)</f>
        <v>-15460.530367123298</v>
      </c>
      <c r="D53" s="370">
        <f>-('16 Generátory'!H72-'16 Generátory'!G72)</f>
        <v>-4698.951413128758</v>
      </c>
      <c r="E53" s="371">
        <f>-('16 Generátory'!I72-'16 Generátory'!H72)</f>
        <v>-4122.845052573102</v>
      </c>
      <c r="F53" s="372">
        <f>-('16 Generátory'!J72-'16 Generátory'!I72)</f>
        <v>-3836.783034309963</v>
      </c>
      <c r="H53" s="417"/>
      <c r="I53" s="417"/>
      <c r="J53" s="417"/>
      <c r="K53" s="417"/>
    </row>
    <row r="54" spans="1:11" ht="12.75">
      <c r="A54" s="35" t="s">
        <v>409</v>
      </c>
      <c r="B54" s="368">
        <f>'9 Cash flow'!F13</f>
        <v>5986</v>
      </c>
      <c r="C54" s="369">
        <f>'16 Generátory'!G75-'16 Generátory'!F75</f>
        <v>41652.22369315068</v>
      </c>
      <c r="D54" s="370">
        <f>'16 Generátory'!H75-'16 Generátory'!G75</f>
        <v>15271.592092668492</v>
      </c>
      <c r="E54" s="371">
        <f>'16 Generátory'!I75-'16 Generátory'!H75</f>
        <v>14789.385201409663</v>
      </c>
      <c r="F54" s="372">
        <f>'16 Generátory'!J75-'16 Generátory'!I75</f>
        <v>12533.491245412559</v>
      </c>
      <c r="H54" s="417"/>
      <c r="I54" s="417"/>
      <c r="J54" s="417"/>
      <c r="K54" s="417"/>
    </row>
    <row r="55" spans="1:11" ht="12.75">
      <c r="A55" s="35" t="s">
        <v>116</v>
      </c>
      <c r="B55" s="368">
        <f>'9 Cash flow'!F14</f>
        <v>-4900</v>
      </c>
      <c r="C55" s="369">
        <f>-('16 Generátory'!G71-'16 Generátory'!F71)</f>
        <v>-24659.465424657537</v>
      </c>
      <c r="D55" s="370">
        <f>-('16 Generátory'!H71-'16 Generátory'!G71)</f>
        <v>-17375.553803441086</v>
      </c>
      <c r="E55" s="371">
        <f>-('16 Generátory'!I71-'16 Generátory'!H71)</f>
        <v>-23693.144805331976</v>
      </c>
      <c r="F55" s="372">
        <f>-('16 Generátory'!J71-'16 Generátory'!I71)</f>
        <v>-9751.82354553783</v>
      </c>
      <c r="H55" s="417"/>
      <c r="I55" s="417"/>
      <c r="J55" s="417"/>
      <c r="K55" s="417"/>
    </row>
    <row r="56" spans="1:7" ht="13.5" thickBot="1">
      <c r="A56" s="77" t="s">
        <v>118</v>
      </c>
      <c r="B56" s="383">
        <f>B48+B49+B52</f>
        <v>85301.12</v>
      </c>
      <c r="C56" s="384">
        <f>C48+C49+C52</f>
        <v>110872.86883564192</v>
      </c>
      <c r="D56" s="385">
        <f>D48+D49+D52</f>
        <v>114348.33062088782</v>
      </c>
      <c r="E56" s="386">
        <f>E48+E49+E52</f>
        <v>115699.01294689864</v>
      </c>
      <c r="F56" s="387">
        <f>F48+F49+F52</f>
        <v>134281.2011303617</v>
      </c>
      <c r="G56" s="417"/>
    </row>
    <row r="57" spans="1:6" ht="12.75">
      <c r="A57" s="356" t="s">
        <v>432</v>
      </c>
      <c r="B57" s="388"/>
      <c r="C57" s="389"/>
      <c r="D57" s="390"/>
      <c r="E57" s="391"/>
      <c r="F57" s="392"/>
    </row>
    <row r="58" spans="1:7" ht="12.75">
      <c r="A58" s="203" t="s">
        <v>430</v>
      </c>
      <c r="B58" s="373">
        <f>'9 Cash flow'!F19</f>
        <v>-79078</v>
      </c>
      <c r="C58" s="374">
        <f>-'16 Generátory'!C180</f>
        <v>-70983.5</v>
      </c>
      <c r="D58" s="375">
        <f>-'16 Generátory'!D180</f>
        <v>-76183.01666666666</v>
      </c>
      <c r="E58" s="376">
        <f>-'16 Generátory'!E180</f>
        <v>-73133.82833333334</v>
      </c>
      <c r="F58" s="377">
        <f>-'16 Generátory'!F180</f>
        <v>-86354.3189074074</v>
      </c>
      <c r="G58" s="417"/>
    </row>
    <row r="59" spans="1:11" ht="13.5" thickBot="1">
      <c r="A59" s="47" t="s">
        <v>125</v>
      </c>
      <c r="B59" s="393">
        <f>B58</f>
        <v>-79078</v>
      </c>
      <c r="C59" s="394">
        <f>C58</f>
        <v>-70983.5</v>
      </c>
      <c r="D59" s="395">
        <f>D58</f>
        <v>-76183.01666666666</v>
      </c>
      <c r="E59" s="395">
        <f>E58</f>
        <v>-73133.82833333334</v>
      </c>
      <c r="F59" s="396">
        <f>F58</f>
        <v>-86354.3189074074</v>
      </c>
      <c r="H59" s="417"/>
      <c r="I59" s="417"/>
      <c r="J59" s="417"/>
      <c r="K59" s="417"/>
    </row>
    <row r="60" spans="1:6" ht="13.5" thickBot="1">
      <c r="A60" s="492" t="s">
        <v>433</v>
      </c>
      <c r="B60" s="493">
        <f>B59+B56</f>
        <v>6223.119999999995</v>
      </c>
      <c r="C60" s="494">
        <f>C59+C56</f>
        <v>39889.368835641915</v>
      </c>
      <c r="D60" s="495">
        <f>D59+D56</f>
        <v>38165.31395422116</v>
      </c>
      <c r="E60" s="495">
        <f>E59+E56</f>
        <v>42565.1846135653</v>
      </c>
      <c r="F60" s="496">
        <f>F59+F56</f>
        <v>47926.8822229543</v>
      </c>
    </row>
    <row r="61" spans="3:6" ht="7.5" customHeight="1">
      <c r="C61" s="564"/>
      <c r="D61" s="564"/>
      <c r="E61" s="564"/>
      <c r="F61" s="564"/>
    </row>
    <row r="62" spans="1:6" ht="18.75" thickBot="1">
      <c r="A62" s="351" t="s">
        <v>419</v>
      </c>
      <c r="B62" s="352"/>
      <c r="C62" s="352"/>
      <c r="D62" s="352"/>
      <c r="E62" s="352"/>
      <c r="F62" s="352"/>
    </row>
    <row r="63" spans="1:6" ht="13.5" thickBot="1">
      <c r="A63" s="944" t="s">
        <v>208</v>
      </c>
      <c r="B63" s="945">
        <f>výchozí_rok+4</f>
        <v>2006</v>
      </c>
      <c r="C63" s="946">
        <f>B63+1</f>
        <v>2007</v>
      </c>
      <c r="D63" s="947">
        <f>C63+1</f>
        <v>2008</v>
      </c>
      <c r="E63" s="947">
        <f>D63+1</f>
        <v>2009</v>
      </c>
      <c r="F63" s="948">
        <f>E63+1</f>
        <v>2010</v>
      </c>
    </row>
    <row r="64" spans="1:6" ht="13.5" thickBot="1">
      <c r="A64" s="492" t="s">
        <v>436</v>
      </c>
      <c r="B64" s="493">
        <f>-B24</f>
        <v>-10536</v>
      </c>
      <c r="C64" s="494">
        <f>-C24</f>
        <v>-8746.77</v>
      </c>
      <c r="D64" s="495">
        <f>-D24</f>
        <v>-8746.77</v>
      </c>
      <c r="E64" s="495">
        <f>-E24</f>
        <v>-8746.77</v>
      </c>
      <c r="F64" s="496">
        <f>-F24</f>
        <v>-8746.77</v>
      </c>
    </row>
    <row r="65" spans="1:6" ht="9" customHeight="1">
      <c r="A65" s="4"/>
      <c r="B65" s="425"/>
      <c r="C65" s="425"/>
      <c r="D65" s="425"/>
      <c r="E65" s="425"/>
      <c r="F65" s="425"/>
    </row>
    <row r="66" spans="1:6" ht="18.75" thickBot="1">
      <c r="A66" s="351" t="s">
        <v>438</v>
      </c>
      <c r="B66" s="424"/>
      <c r="C66" s="424"/>
      <c r="D66" s="424"/>
      <c r="E66" s="424"/>
      <c r="F66" s="424"/>
    </row>
    <row r="67" spans="1:6" ht="13.5" thickBot="1">
      <c r="A67" s="944" t="s">
        <v>208</v>
      </c>
      <c r="B67" s="945">
        <f>výchozí_rok+4</f>
        <v>2006</v>
      </c>
      <c r="C67" s="946">
        <f>B67+1</f>
        <v>2007</v>
      </c>
      <c r="D67" s="947">
        <f>C67+1</f>
        <v>2008</v>
      </c>
      <c r="E67" s="947">
        <f>D67+1</f>
        <v>2009</v>
      </c>
      <c r="F67" s="948">
        <f>E67+1</f>
        <v>2010</v>
      </c>
    </row>
    <row r="68" spans="1:6" ht="12.75">
      <c r="A68" s="348" t="s">
        <v>643</v>
      </c>
      <c r="B68" s="515">
        <f>SUM(B69:B72)</f>
        <v>4554.726785040981</v>
      </c>
      <c r="C68" s="516">
        <f>SUM(C69:C72)</f>
        <v>2278.4110028241344</v>
      </c>
      <c r="D68" s="517">
        <f>SUM(D69:D72)</f>
        <v>2070.564031271242</v>
      </c>
      <c r="E68" s="518">
        <f>SUM(E69:E72)</f>
        <v>2016.4075269001842</v>
      </c>
      <c r="F68" s="519">
        <f>SUM(F69:F72)</f>
        <v>1958.160825655325</v>
      </c>
    </row>
    <row r="69" spans="1:6" ht="12.75">
      <c r="A69" s="357" t="s">
        <v>83</v>
      </c>
      <c r="B69" s="498">
        <f aca="true" t="shared" si="1" ref="B69:F70">B28</f>
        <v>63.7</v>
      </c>
      <c r="C69" s="499">
        <f t="shared" si="1"/>
        <v>63.7</v>
      </c>
      <c r="D69" s="500">
        <f t="shared" si="1"/>
        <v>63.7</v>
      </c>
      <c r="E69" s="501">
        <f t="shared" si="1"/>
        <v>63.7</v>
      </c>
      <c r="F69" s="502">
        <f t="shared" si="1"/>
        <v>63.7</v>
      </c>
    </row>
    <row r="70" spans="1:6" ht="12.75">
      <c r="A70" s="357" t="s">
        <v>86</v>
      </c>
      <c r="B70" s="498">
        <f t="shared" si="1"/>
        <v>149.57208558023387</v>
      </c>
      <c r="C70" s="499">
        <f t="shared" si="1"/>
        <v>172.07131950543874</v>
      </c>
      <c r="D70" s="500">
        <f t="shared" si="1"/>
        <v>232.176368697769</v>
      </c>
      <c r="E70" s="501">
        <f t="shared" si="1"/>
        <v>270.116908625231</v>
      </c>
      <c r="F70" s="502">
        <f t="shared" si="1"/>
        <v>302.0710193275584</v>
      </c>
    </row>
    <row r="71" spans="1:6" ht="12.75">
      <c r="A71" s="357" t="s">
        <v>794</v>
      </c>
      <c r="B71" s="498">
        <f>-(B36-B47)</f>
        <v>1979.4546994607463</v>
      </c>
      <c r="C71" s="499">
        <f>-(C36-C47)</f>
        <v>2042.6396833186955</v>
      </c>
      <c r="D71" s="500">
        <f>-(D36-D47)</f>
        <v>1774.687662573473</v>
      </c>
      <c r="E71" s="501">
        <f>-(E36-E47)</f>
        <v>1682.5906182749532</v>
      </c>
      <c r="F71" s="502">
        <f>-(F36-F47)</f>
        <v>1592.3898063277666</v>
      </c>
    </row>
    <row r="72" spans="1:6" ht="12.75">
      <c r="A72" s="520" t="s">
        <v>445</v>
      </c>
      <c r="B72" s="521">
        <f>B34</f>
        <v>2362</v>
      </c>
      <c r="C72" s="522">
        <f>C34</f>
        <v>0</v>
      </c>
      <c r="D72" s="523">
        <f>D34</f>
        <v>0</v>
      </c>
      <c r="E72" s="524">
        <f>E34</f>
        <v>0</v>
      </c>
      <c r="F72" s="525">
        <f>F34</f>
        <v>0</v>
      </c>
    </row>
    <row r="73" spans="1:6" ht="12.75">
      <c r="A73" s="348" t="s">
        <v>443</v>
      </c>
      <c r="B73" s="515">
        <f>B74</f>
        <v>0</v>
      </c>
      <c r="C73" s="516">
        <f>C74</f>
        <v>0</v>
      </c>
      <c r="D73" s="517">
        <f>D74</f>
        <v>0</v>
      </c>
      <c r="E73" s="518">
        <f>E74</f>
        <v>0</v>
      </c>
      <c r="F73" s="519">
        <f>F74</f>
        <v>0</v>
      </c>
    </row>
    <row r="74" spans="1:6" ht="12.75">
      <c r="A74" s="58" t="s">
        <v>123</v>
      </c>
      <c r="B74" s="378">
        <v>0</v>
      </c>
      <c r="C74" s="379">
        <v>0</v>
      </c>
      <c r="D74" s="380">
        <v>0</v>
      </c>
      <c r="E74" s="381">
        <v>0</v>
      </c>
      <c r="F74" s="382">
        <v>0</v>
      </c>
    </row>
    <row r="75" spans="1:6" ht="12.75">
      <c r="A75" s="34" t="s">
        <v>444</v>
      </c>
      <c r="B75" s="363">
        <f>B76</f>
        <v>768</v>
      </c>
      <c r="C75" s="364">
        <f>C76</f>
        <v>1600</v>
      </c>
      <c r="D75" s="365">
        <f>D76</f>
        <v>1600</v>
      </c>
      <c r="E75" s="366">
        <f>E76</f>
        <v>4032</v>
      </c>
      <c r="F75" s="367">
        <f>F76</f>
        <v>0</v>
      </c>
    </row>
    <row r="76" spans="1:6" ht="12.75">
      <c r="A76" s="35" t="s">
        <v>434</v>
      </c>
      <c r="B76" s="368">
        <f>-('7 Rozvaha'!G13-'7 Rozvaha'!F13)</f>
        <v>768</v>
      </c>
      <c r="C76" s="369">
        <f>-(C110-B110)</f>
        <v>1600</v>
      </c>
      <c r="D76" s="370">
        <f>-(D110-C110)</f>
        <v>1600</v>
      </c>
      <c r="E76" s="371">
        <f>-(E110-D110)</f>
        <v>4032</v>
      </c>
      <c r="F76" s="372">
        <f>-(F110-E110)</f>
        <v>0</v>
      </c>
    </row>
    <row r="77" spans="1:6" ht="13.5" thickBot="1">
      <c r="A77" s="482" t="s">
        <v>437</v>
      </c>
      <c r="B77" s="508">
        <f>B68+B73+B75</f>
        <v>5322.726785040981</v>
      </c>
      <c r="C77" s="509">
        <f>C68+C73+C75</f>
        <v>3878.4110028241344</v>
      </c>
      <c r="D77" s="510">
        <f>D68+D73+D75</f>
        <v>3670.564031271242</v>
      </c>
      <c r="E77" s="511">
        <f>E68+E73+E75</f>
        <v>6048.407526900184</v>
      </c>
      <c r="F77" s="512">
        <f>F68+F73+F75</f>
        <v>1958.160825655325</v>
      </c>
    </row>
    <row r="78" spans="1:6" ht="12.75">
      <c r="A78" s="1133" t="s">
        <v>453</v>
      </c>
      <c r="B78" s="497"/>
      <c r="C78" s="497"/>
      <c r="D78" s="497"/>
      <c r="E78" s="497"/>
      <c r="F78" s="497"/>
    </row>
    <row r="79" spans="1:6" ht="12.75">
      <c r="A79" s="534" t="s">
        <v>452</v>
      </c>
      <c r="B79" s="497"/>
      <c r="C79" s="497"/>
      <c r="D79" s="497"/>
      <c r="E79" s="497"/>
      <c r="F79" s="497"/>
    </row>
    <row r="80" spans="1:6" ht="7.5" customHeight="1">
      <c r="A80" s="82"/>
      <c r="B80" s="513"/>
      <c r="C80" s="513"/>
      <c r="D80" s="513"/>
      <c r="E80" s="513"/>
      <c r="F80" s="513"/>
    </row>
    <row r="81" spans="1:6" ht="18.75" thickBot="1">
      <c r="A81" s="351" t="s">
        <v>439</v>
      </c>
      <c r="B81" s="424"/>
      <c r="C81" s="424"/>
      <c r="D81" s="424"/>
      <c r="E81" s="424"/>
      <c r="F81" s="424"/>
    </row>
    <row r="82" spans="1:6" ht="13.5" thickBot="1">
      <c r="A82" s="944" t="s">
        <v>208</v>
      </c>
      <c r="B82" s="945">
        <f>výchozí_rok+4</f>
        <v>2006</v>
      </c>
      <c r="C82" s="946">
        <f>B82+1</f>
        <v>2007</v>
      </c>
      <c r="D82" s="947">
        <f>C82+1</f>
        <v>2008</v>
      </c>
      <c r="E82" s="947">
        <f>D82+1</f>
        <v>2009</v>
      </c>
      <c r="F82" s="948">
        <f>E82+1</f>
        <v>2010</v>
      </c>
    </row>
    <row r="83" spans="1:6" ht="12.75">
      <c r="A83" s="34" t="s">
        <v>129</v>
      </c>
      <c r="B83" s="363">
        <f>SUM(B84:B86)</f>
        <v>19490</v>
      </c>
      <c r="C83" s="364">
        <f>SUM(C84:C86)</f>
        <v>0</v>
      </c>
      <c r="D83" s="365">
        <f>SUM(D84:D86)</f>
        <v>0</v>
      </c>
      <c r="E83" s="366">
        <f>SUM(E84:E86)</f>
        <v>0</v>
      </c>
      <c r="F83" s="367">
        <f>SUM(F84:F86)</f>
        <v>0</v>
      </c>
    </row>
    <row r="84" spans="1:6" ht="12.75">
      <c r="A84" s="35" t="s">
        <v>440</v>
      </c>
      <c r="B84" s="368">
        <f>'9 Cash flow'!F25</f>
        <v>24960</v>
      </c>
      <c r="C84" s="369">
        <v>0</v>
      </c>
      <c r="D84" s="370">
        <v>0</v>
      </c>
      <c r="E84" s="371">
        <v>0</v>
      </c>
      <c r="F84" s="372">
        <v>0</v>
      </c>
    </row>
    <row r="85" spans="1:6" ht="12.75">
      <c r="A85" s="35" t="s">
        <v>401</v>
      </c>
      <c r="B85" s="368">
        <f>'9 Cash flow'!F26</f>
        <v>2490</v>
      </c>
      <c r="C85" s="369">
        <v>0</v>
      </c>
      <c r="D85" s="370">
        <v>0</v>
      </c>
      <c r="E85" s="371">
        <v>0</v>
      </c>
      <c r="F85" s="372">
        <v>0</v>
      </c>
    </row>
    <row r="86" spans="1:6" ht="12.75">
      <c r="A86" s="58" t="s">
        <v>141</v>
      </c>
      <c r="B86" s="378">
        <f>'9 Cash flow'!F27</f>
        <v>-7960</v>
      </c>
      <c r="C86" s="379">
        <v>0</v>
      </c>
      <c r="D86" s="380">
        <v>0</v>
      </c>
      <c r="E86" s="381">
        <v>0</v>
      </c>
      <c r="F86" s="382">
        <v>0</v>
      </c>
    </row>
    <row r="87" spans="1:6" ht="12.75">
      <c r="A87" s="34" t="s">
        <v>410</v>
      </c>
      <c r="B87" s="363">
        <f>SUM(B88:B89)</f>
        <v>-16000</v>
      </c>
      <c r="C87" s="364">
        <f>SUM(C88:C89)</f>
        <v>-23000</v>
      </c>
      <c r="D87" s="365">
        <f>SUM(D88:D89)</f>
        <v>-25501</v>
      </c>
      <c r="E87" s="366">
        <f>SUM(E88:E89)</f>
        <v>-33476</v>
      </c>
      <c r="F87" s="367">
        <f>SUM(F88:F89)</f>
        <v>-36207</v>
      </c>
    </row>
    <row r="88" spans="1:6" ht="12.75">
      <c r="A88" s="35" t="s">
        <v>135</v>
      </c>
      <c r="B88" s="368">
        <f>'9 Cash flow'!F29</f>
        <v>0</v>
      </c>
      <c r="C88" s="369">
        <v>0</v>
      </c>
      <c r="D88" s="370">
        <v>0</v>
      </c>
      <c r="E88" s="371">
        <v>0</v>
      </c>
      <c r="F88" s="372">
        <v>0</v>
      </c>
    </row>
    <row r="89" spans="1:6" ht="12.75">
      <c r="A89" s="35" t="s">
        <v>404</v>
      </c>
      <c r="B89" s="397">
        <f>'9 Cash flow'!F30</f>
        <v>-16000</v>
      </c>
      <c r="C89" s="398">
        <f>-ROUND(C37*0.4,0)</f>
        <v>-23000</v>
      </c>
      <c r="D89" s="399">
        <f>-ROUND(D37*0.4,0)</f>
        <v>-25501</v>
      </c>
      <c r="E89" s="399">
        <f>-ROUND(E37*0.5,0)</f>
        <v>-33476</v>
      </c>
      <c r="F89" s="400">
        <f>-ROUND(F37*0.5,0)</f>
        <v>-36207</v>
      </c>
    </row>
    <row r="90" spans="1:7" ht="13.5" thickBot="1">
      <c r="A90" s="482" t="s">
        <v>441</v>
      </c>
      <c r="B90" s="508">
        <f>B83+B87</f>
        <v>3490</v>
      </c>
      <c r="C90" s="509">
        <f>C83+C87</f>
        <v>-23000</v>
      </c>
      <c r="D90" s="510">
        <f>D83+D87</f>
        <v>-25501</v>
      </c>
      <c r="E90" s="511">
        <f>E83+E87</f>
        <v>-33476</v>
      </c>
      <c r="F90" s="512">
        <f>F83+F87</f>
        <v>-36207</v>
      </c>
      <c r="G90" s="417"/>
    </row>
    <row r="91" spans="1:7" ht="7.5" customHeight="1">
      <c r="A91" s="349"/>
      <c r="B91" s="514"/>
      <c r="C91" s="514"/>
      <c r="D91" s="514"/>
      <c r="E91" s="514"/>
      <c r="F91" s="514"/>
      <c r="G91" s="417"/>
    </row>
    <row r="92" spans="1:6" ht="18.75" thickBot="1">
      <c r="A92" s="351" t="s">
        <v>442</v>
      </c>
      <c r="B92" s="424"/>
      <c r="C92" s="424"/>
      <c r="D92" s="424"/>
      <c r="E92" s="424"/>
      <c r="F92" s="424"/>
    </row>
    <row r="93" spans="1:6" ht="13.5" thickBot="1">
      <c r="A93" s="944" t="s">
        <v>208</v>
      </c>
      <c r="B93" s="945">
        <f>výchozí_rok+4</f>
        <v>2006</v>
      </c>
      <c r="C93" s="946">
        <f>B93+1</f>
        <v>2007</v>
      </c>
      <c r="D93" s="947">
        <f>C93+1</f>
        <v>2008</v>
      </c>
      <c r="E93" s="947">
        <f>D93+1</f>
        <v>2009</v>
      </c>
      <c r="F93" s="948">
        <f>E93+1</f>
        <v>2010</v>
      </c>
    </row>
    <row r="94" spans="1:6" ht="13.5" thickBot="1">
      <c r="A94" s="33" t="s">
        <v>137</v>
      </c>
      <c r="B94" s="368">
        <f>B60+B64+B77+B90</f>
        <v>4499.846785040976</v>
      </c>
      <c r="C94" s="426">
        <f>C60+C64+C77+C90</f>
        <v>12021.009838466052</v>
      </c>
      <c r="D94" s="370">
        <f>D60+D64+D77+D90</f>
        <v>7588.107985492403</v>
      </c>
      <c r="E94" s="371">
        <f>E60+E64+E77+E90</f>
        <v>6390.822140465483</v>
      </c>
      <c r="F94" s="372">
        <f>F60+F64+F77+F90</f>
        <v>4931.273048609619</v>
      </c>
    </row>
    <row r="95" spans="1:6" ht="13.5" thickBot="1">
      <c r="A95" s="202" t="s">
        <v>138</v>
      </c>
      <c r="B95" s="418">
        <f>B41+B94</f>
        <v>34414.26390108775</v>
      </c>
      <c r="C95" s="419">
        <f>C41+C94</f>
        <v>46435.2737395538</v>
      </c>
      <c r="D95" s="420">
        <f>D41+D94</f>
        <v>54023.3817250462</v>
      </c>
      <c r="E95" s="421">
        <f>E41+E94</f>
        <v>60414.203865511685</v>
      </c>
      <c r="F95" s="422">
        <f>F41+F94</f>
        <v>65345.476914121304</v>
      </c>
    </row>
    <row r="96" spans="2:6" ht="39.75" customHeight="1">
      <c r="B96" s="417"/>
      <c r="C96" s="417"/>
      <c r="D96" s="417"/>
      <c r="E96" s="417"/>
      <c r="F96" s="417"/>
    </row>
    <row r="97" spans="1:6" ht="21" thickBot="1">
      <c r="A97" s="196" t="s">
        <v>458</v>
      </c>
      <c r="B97" s="417"/>
      <c r="C97" s="417"/>
      <c r="D97" s="417"/>
      <c r="E97" s="417"/>
      <c r="F97" s="417"/>
    </row>
    <row r="98" spans="1:6" ht="13.5" thickBot="1">
      <c r="A98" s="944" t="s">
        <v>265</v>
      </c>
      <c r="B98" s="945">
        <f>výchozí_rok+4</f>
        <v>2006</v>
      </c>
      <c r="C98" s="946">
        <f>B98+1</f>
        <v>2007</v>
      </c>
      <c r="D98" s="947">
        <f>C98+1</f>
        <v>2008</v>
      </c>
      <c r="E98" s="947">
        <f>D98+1</f>
        <v>2009</v>
      </c>
      <c r="F98" s="948">
        <f>E98+1</f>
        <v>2010</v>
      </c>
    </row>
    <row r="99" spans="1:6" ht="13.5" thickBot="1">
      <c r="A99" s="43" t="s">
        <v>0</v>
      </c>
      <c r="B99" s="427">
        <f>B100+B111+B120</f>
        <v>714388.2639010877</v>
      </c>
      <c r="C99" s="428">
        <f>C100+C111+C120</f>
        <v>790540.7695313346</v>
      </c>
      <c r="D99" s="429">
        <f>D100+D111+D120</f>
        <v>844063.882733397</v>
      </c>
      <c r="E99" s="429">
        <f>E100+E111+E120</f>
        <v>892329.1947317675</v>
      </c>
      <c r="F99" s="430">
        <f>F100+F111+F120</f>
        <v>941070.5743602249</v>
      </c>
    </row>
    <row r="100" spans="1:6" ht="12.75">
      <c r="A100" s="33" t="s">
        <v>381</v>
      </c>
      <c r="B100" s="431">
        <f>B101+B102+B106</f>
        <v>460694</v>
      </c>
      <c r="C100" s="432">
        <f>C101+C102+C106</f>
        <v>484705.5</v>
      </c>
      <c r="D100" s="433">
        <f>D101+D102+D106</f>
        <v>508566</v>
      </c>
      <c r="E100" s="433">
        <f>E101+E102+E106</f>
        <v>522624.5</v>
      </c>
      <c r="F100" s="434">
        <f>F101+F102+F106</f>
        <v>552846</v>
      </c>
    </row>
    <row r="101" spans="1:6" ht="12.75">
      <c r="A101" s="55" t="s">
        <v>4</v>
      </c>
      <c r="B101" s="435">
        <f>'7 Rozvaha'!G6</f>
        <v>2164</v>
      </c>
      <c r="C101" s="436">
        <f>'16 Generátory'!C154</f>
        <v>4535</v>
      </c>
      <c r="D101" s="437">
        <f>'16 Generátory'!D154</f>
        <v>6535</v>
      </c>
      <c r="E101" s="437">
        <f>'16 Generátory'!E154</f>
        <v>7535</v>
      </c>
      <c r="F101" s="438">
        <f>'16 Generátory'!F154</f>
        <v>10655</v>
      </c>
    </row>
    <row r="102" spans="1:6" ht="12.75">
      <c r="A102" s="34" t="s">
        <v>6</v>
      </c>
      <c r="B102" s="412">
        <f>SUM(B103:B105)</f>
        <v>450024</v>
      </c>
      <c r="C102" s="432">
        <f>SUM(C103:C105)</f>
        <v>473264.5</v>
      </c>
      <c r="D102" s="433">
        <f>SUM(D103:D105)</f>
        <v>496725</v>
      </c>
      <c r="E102" s="433">
        <f>SUM(E103:E105)</f>
        <v>513815.5</v>
      </c>
      <c r="F102" s="434">
        <f>SUM(F103:F105)</f>
        <v>540917</v>
      </c>
    </row>
    <row r="103" spans="1:6" ht="12.75">
      <c r="A103" s="35" t="s">
        <v>8</v>
      </c>
      <c r="B103" s="397">
        <f>'7 Rozvaha'!G8</f>
        <v>14524</v>
      </c>
      <c r="C103" s="439">
        <f>'16 Generátory'!C174</f>
        <v>14524</v>
      </c>
      <c r="D103" s="440">
        <f>'16 Generátory'!D174</f>
        <v>14524</v>
      </c>
      <c r="E103" s="440">
        <f>'16 Generátory'!E174</f>
        <v>14524</v>
      </c>
      <c r="F103" s="441">
        <f>'16 Generátory'!F174</f>
        <v>14524</v>
      </c>
    </row>
    <row r="104" spans="1:6" ht="12.75">
      <c r="A104" s="35" t="s">
        <v>10</v>
      </c>
      <c r="B104" s="397">
        <f>'7 Rozvaha'!G9</f>
        <v>351000</v>
      </c>
      <c r="C104" s="439">
        <f>'16 Generátory'!C163</f>
        <v>359240.5</v>
      </c>
      <c r="D104" s="440">
        <f>'16 Generátory'!D163</f>
        <v>367481</v>
      </c>
      <c r="E104" s="440">
        <f>'16 Generátory'!E163</f>
        <v>375721.5</v>
      </c>
      <c r="F104" s="441">
        <f>'16 Generátory'!F163</f>
        <v>383962</v>
      </c>
    </row>
    <row r="105" spans="1:6" ht="12.75">
      <c r="A105" s="58" t="s">
        <v>174</v>
      </c>
      <c r="B105" s="405">
        <f>'7 Rozvaha'!G10</f>
        <v>84500</v>
      </c>
      <c r="C105" s="442">
        <f>'16 Generátory'!C172</f>
        <v>99500</v>
      </c>
      <c r="D105" s="443">
        <f>'16 Generátory'!D172</f>
        <v>114720</v>
      </c>
      <c r="E105" s="443">
        <f>'16 Generátory'!E172</f>
        <v>123570</v>
      </c>
      <c r="F105" s="444">
        <f>'16 Generátory'!F172</f>
        <v>142431</v>
      </c>
    </row>
    <row r="106" spans="1:6" ht="12.75">
      <c r="A106" s="34" t="s">
        <v>14</v>
      </c>
      <c r="B106" s="412">
        <f>B107+B109+B110</f>
        <v>8506</v>
      </c>
      <c r="C106" s="432">
        <f>C107+C109+C110</f>
        <v>6906</v>
      </c>
      <c r="D106" s="433">
        <f>D107+D109+D110</f>
        <v>5306</v>
      </c>
      <c r="E106" s="433">
        <f>E107+E109+E110</f>
        <v>1274</v>
      </c>
      <c r="F106" s="434">
        <f>F107+F109+F110</f>
        <v>1274</v>
      </c>
    </row>
    <row r="107" spans="1:6" ht="12.75">
      <c r="A107" s="35" t="s">
        <v>411</v>
      </c>
      <c r="B107" s="566">
        <v>0</v>
      </c>
      <c r="C107" s="567">
        <v>0</v>
      </c>
      <c r="D107" s="568">
        <v>0</v>
      </c>
      <c r="E107" s="568">
        <v>0</v>
      </c>
      <c r="F107" s="569">
        <v>0</v>
      </c>
    </row>
    <row r="108" spans="1:6" ht="12.75">
      <c r="A108" s="345" t="s">
        <v>412</v>
      </c>
      <c r="B108" s="445"/>
      <c r="C108" s="446"/>
      <c r="D108" s="447"/>
      <c r="E108" s="447"/>
      <c r="F108" s="448"/>
    </row>
    <row r="109" spans="1:6" ht="12.75">
      <c r="A109" s="345" t="s">
        <v>416</v>
      </c>
      <c r="B109" s="449">
        <f>'7 Rozvaha'!G12</f>
        <v>1274</v>
      </c>
      <c r="C109" s="450">
        <f>B109</f>
        <v>1274</v>
      </c>
      <c r="D109" s="451">
        <f>C109</f>
        <v>1274</v>
      </c>
      <c r="E109" s="451">
        <f>D109</f>
        <v>1274</v>
      </c>
      <c r="F109" s="452">
        <f>E109</f>
        <v>1274</v>
      </c>
    </row>
    <row r="110" spans="1:6" ht="13.5" thickBot="1">
      <c r="A110" s="346" t="s">
        <v>417</v>
      </c>
      <c r="B110" s="453">
        <f>'7 Rozvaha'!G13</f>
        <v>7232</v>
      </c>
      <c r="C110" s="454">
        <f>B110-SUM('25 Pohledávka'!D7:D10)</f>
        <v>5632</v>
      </c>
      <c r="D110" s="455">
        <f>C110-SUM('25 Pohledávka'!D11:D14)</f>
        <v>4032</v>
      </c>
      <c r="E110" s="455">
        <f>D110-'25 Pohledávka'!D19</f>
        <v>0</v>
      </c>
      <c r="F110" s="456">
        <v>0</v>
      </c>
    </row>
    <row r="111" spans="1:6" ht="12.75">
      <c r="A111" s="54" t="s">
        <v>20</v>
      </c>
      <c r="B111" s="457">
        <f>B112+B115+B117</f>
        <v>239808.26390108775</v>
      </c>
      <c r="C111" s="458">
        <f>C112+C115+C117</f>
        <v>291949.26953133463</v>
      </c>
      <c r="D111" s="459">
        <f>D112+D115+D117</f>
        <v>321611.8827333969</v>
      </c>
      <c r="E111" s="459">
        <f>E112+E115+E117</f>
        <v>355818.69473176746</v>
      </c>
      <c r="F111" s="460">
        <f>F112+F115+F117</f>
        <v>374338.5743602249</v>
      </c>
    </row>
    <row r="112" spans="1:6" ht="12.75">
      <c r="A112" s="34" t="s">
        <v>22</v>
      </c>
      <c r="B112" s="412">
        <f>B113+B114</f>
        <v>146268</v>
      </c>
      <c r="C112" s="432">
        <f>C113+C114</f>
        <v>170927.46542465754</v>
      </c>
      <c r="D112" s="433">
        <f>D113+D114</f>
        <v>188303.01922809865</v>
      </c>
      <c r="E112" s="433">
        <f>E113+E114</f>
        <v>211996.1640334306</v>
      </c>
      <c r="F112" s="434">
        <f>F113+F114</f>
        <v>221747.98757896843</v>
      </c>
    </row>
    <row r="113" spans="1:6" ht="12.75">
      <c r="A113" s="35" t="s">
        <v>24</v>
      </c>
      <c r="B113" s="397">
        <f>'7 Rozvaha'!G16</f>
        <v>1990</v>
      </c>
      <c r="C113" s="439">
        <f>'16 Generátory'!G52*'16 Generátory'!G$7/365</f>
        <v>3107.7720986301374</v>
      </c>
      <c r="D113" s="440">
        <f>'16 Generátory'!H52*'16 Generátory'!H$7/365</f>
        <v>3303.5617408438357</v>
      </c>
      <c r="E113" s="440">
        <f>'16 Generátory'!I52*'16 Generátory'!I$7/365</f>
        <v>3475.346951367715</v>
      </c>
      <c r="F113" s="441">
        <f>'16 Generátory'!J52*'16 Generátory'!J$7/365</f>
        <v>3635.2129111306303</v>
      </c>
    </row>
    <row r="114" spans="1:6" ht="12.75">
      <c r="A114" s="58" t="s">
        <v>26</v>
      </c>
      <c r="B114" s="405">
        <f>'7 Rozvaha'!G17</f>
        <v>144278</v>
      </c>
      <c r="C114" s="442">
        <f>'16 Generátory'!G53*'16 Generátory'!G$7/365</f>
        <v>167819.6933260274</v>
      </c>
      <c r="D114" s="443">
        <f>'16 Generátory'!H53*'16 Generátory'!H$7/365</f>
        <v>184999.4574872548</v>
      </c>
      <c r="E114" s="443">
        <f>'16 Generátory'!I53*'16 Generátory'!I$7/365</f>
        <v>208520.8170820629</v>
      </c>
      <c r="F114" s="444">
        <f>'16 Generátory'!J53*'16 Generátory'!J$7/365</f>
        <v>218112.7746678378</v>
      </c>
    </row>
    <row r="115" spans="1:6" ht="12.75">
      <c r="A115" s="34" t="s">
        <v>30</v>
      </c>
      <c r="B115" s="412">
        <f>SUM(B116:B116)</f>
        <v>59126</v>
      </c>
      <c r="C115" s="432">
        <f>SUM(C116:C116)</f>
        <v>74586.5303671233</v>
      </c>
      <c r="D115" s="433">
        <f>SUM(D116:D116)</f>
        <v>79285.48178025206</v>
      </c>
      <c r="E115" s="433">
        <f>SUM(E116:E116)</f>
        <v>83408.32683282516</v>
      </c>
      <c r="F115" s="434">
        <f>SUM(F116:F116)</f>
        <v>87245.10986713512</v>
      </c>
    </row>
    <row r="116" spans="1:6" ht="12.75">
      <c r="A116" s="58" t="s">
        <v>382</v>
      </c>
      <c r="B116" s="405">
        <f>'7 Rozvaha'!G20</f>
        <v>59126</v>
      </c>
      <c r="C116" s="442">
        <f>'16 Generátory'!G72</f>
        <v>74586.5303671233</v>
      </c>
      <c r="D116" s="443">
        <f>'16 Generátory'!H72</f>
        <v>79285.48178025206</v>
      </c>
      <c r="E116" s="443">
        <f>'16 Generátory'!I72</f>
        <v>83408.32683282516</v>
      </c>
      <c r="F116" s="444">
        <f>'16 Generátory'!J72</f>
        <v>87245.10986713512</v>
      </c>
    </row>
    <row r="117" spans="1:6" ht="12.75">
      <c r="A117" s="34" t="s">
        <v>415</v>
      </c>
      <c r="B117" s="412">
        <f>B95</f>
        <v>34414.26390108775</v>
      </c>
      <c r="C117" s="432">
        <f>C95</f>
        <v>46435.2737395538</v>
      </c>
      <c r="D117" s="433">
        <f>D95</f>
        <v>54023.3817250462</v>
      </c>
      <c r="E117" s="433">
        <f>E95</f>
        <v>60414.203865511685</v>
      </c>
      <c r="F117" s="434">
        <f>F95</f>
        <v>65345.476914121304</v>
      </c>
    </row>
    <row r="118" spans="1:6" ht="12.75">
      <c r="A118" s="35" t="s">
        <v>414</v>
      </c>
      <c r="B118" s="566">
        <f>'16 Generátory'!F73</f>
        <v>30113.1</v>
      </c>
      <c r="C118" s="567">
        <f>'16 Generátory'!G73</f>
        <v>36360.9335539726</v>
      </c>
      <c r="D118" s="568">
        <f>'16 Generátory'!H73</f>
        <v>38651.672367872874</v>
      </c>
      <c r="E118" s="568">
        <f>'16 Generátory'!I73</f>
        <v>40870.08014808432</v>
      </c>
      <c r="F118" s="569">
        <f>'16 Generátory'!J73</f>
        <v>42750.10383489621</v>
      </c>
    </row>
    <row r="119" spans="1:6" ht="13.5" thickBot="1">
      <c r="A119" s="345" t="s">
        <v>413</v>
      </c>
      <c r="B119" s="445">
        <f>B117-B118</f>
        <v>4301.163901087748</v>
      </c>
      <c r="C119" s="446">
        <f>C117-C118</f>
        <v>10074.340185581197</v>
      </c>
      <c r="D119" s="447">
        <f>D117-D118</f>
        <v>15371.709357173328</v>
      </c>
      <c r="E119" s="447">
        <f>E117-E118</f>
        <v>19544.123717427363</v>
      </c>
      <c r="F119" s="448">
        <f>F117-F118</f>
        <v>22595.373079225094</v>
      </c>
    </row>
    <row r="120" spans="1:6" ht="13.5" thickBot="1">
      <c r="A120" s="43" t="s">
        <v>36</v>
      </c>
      <c r="B120" s="461">
        <f>'7 Rozvaha'!G24</f>
        <v>13886</v>
      </c>
      <c r="C120" s="409">
        <f>B120</f>
        <v>13886</v>
      </c>
      <c r="D120" s="410">
        <f>C120</f>
        <v>13886</v>
      </c>
      <c r="E120" s="410">
        <f>D120</f>
        <v>13886</v>
      </c>
      <c r="F120" s="411">
        <f>E120</f>
        <v>13886</v>
      </c>
    </row>
    <row r="121" spans="1:6" ht="13.5" thickBot="1">
      <c r="A121" s="82"/>
      <c r="B121" s="462"/>
      <c r="C121" s="463"/>
      <c r="D121" s="463"/>
      <c r="E121" s="463"/>
      <c r="F121" s="463"/>
    </row>
    <row r="122" spans="1:6" ht="13.5" thickBot="1">
      <c r="A122" s="944" t="s">
        <v>266</v>
      </c>
      <c r="B122" s="945">
        <f>výchozí_rok+4</f>
        <v>2006</v>
      </c>
      <c r="C122" s="946">
        <f>B122+1</f>
        <v>2007</v>
      </c>
      <c r="D122" s="947">
        <f>C122+1</f>
        <v>2008</v>
      </c>
      <c r="E122" s="947">
        <f>D122+1</f>
        <v>2009</v>
      </c>
      <c r="F122" s="948">
        <f>E122+1</f>
        <v>2010</v>
      </c>
    </row>
    <row r="123" spans="1:6" ht="13.5" thickBot="1">
      <c r="A123" s="43" t="s">
        <v>37</v>
      </c>
      <c r="B123" s="416">
        <f>B124+B131+B143</f>
        <v>714388.2639010877</v>
      </c>
      <c r="C123" s="428">
        <f>C124+C131+C143</f>
        <v>790540.7695313345</v>
      </c>
      <c r="D123" s="464">
        <f>D124+D131+D143</f>
        <v>844063.8827333968</v>
      </c>
      <c r="E123" s="429">
        <f>E124+E131+E143</f>
        <v>892329.1947317673</v>
      </c>
      <c r="F123" s="430">
        <f>F124+F131+F143</f>
        <v>941070.5743602248</v>
      </c>
    </row>
    <row r="124" spans="1:6" ht="12.75">
      <c r="A124" s="54" t="s">
        <v>38</v>
      </c>
      <c r="B124" s="457">
        <f>B125+B126+B127+B129+B130</f>
        <v>326502.26390108775</v>
      </c>
      <c r="C124" s="458">
        <f>C125+C126+C127+C129+C130</f>
        <v>361002.5458381839</v>
      </c>
      <c r="D124" s="465">
        <f>D125+D126+D127+D129+D130</f>
        <v>399254.06694757764</v>
      </c>
      <c r="E124" s="459">
        <f>E125+E126+E127+E129+E130</f>
        <v>432729.9937445385</v>
      </c>
      <c r="F124" s="460">
        <f>F125+F126+F127+F129+F130</f>
        <v>468937.8821275834</v>
      </c>
    </row>
    <row r="125" spans="1:6" ht="12.75">
      <c r="A125" s="55" t="s">
        <v>40</v>
      </c>
      <c r="B125" s="466">
        <f>'7 Rozvaha'!G28</f>
        <v>150000</v>
      </c>
      <c r="C125" s="570">
        <f aca="true" t="shared" si="2" ref="C125:F126">B125</f>
        <v>150000</v>
      </c>
      <c r="D125" s="571">
        <f t="shared" si="2"/>
        <v>150000</v>
      </c>
      <c r="E125" s="572">
        <f t="shared" si="2"/>
        <v>150000</v>
      </c>
      <c r="F125" s="573">
        <f t="shared" si="2"/>
        <v>150000</v>
      </c>
    </row>
    <row r="126" spans="1:6" ht="12.75">
      <c r="A126" s="55" t="s">
        <v>42</v>
      </c>
      <c r="B126" s="466">
        <f>'7 Rozvaha'!G29</f>
        <v>11610</v>
      </c>
      <c r="C126" s="570">
        <f t="shared" si="2"/>
        <v>11610</v>
      </c>
      <c r="D126" s="571">
        <f t="shared" si="2"/>
        <v>11610</v>
      </c>
      <c r="E126" s="572">
        <f t="shared" si="2"/>
        <v>11610</v>
      </c>
      <c r="F126" s="573">
        <f t="shared" si="2"/>
        <v>11610</v>
      </c>
    </row>
    <row r="127" spans="1:6" ht="12.75">
      <c r="A127" s="34" t="s">
        <v>44</v>
      </c>
      <c r="B127" s="412">
        <f>B128</f>
        <v>30000</v>
      </c>
      <c r="C127" s="432">
        <f>C128</f>
        <v>30000</v>
      </c>
      <c r="D127" s="467">
        <f>D128</f>
        <v>30000</v>
      </c>
      <c r="E127" s="433">
        <f>E128</f>
        <v>30000</v>
      </c>
      <c r="F127" s="434">
        <f>F128</f>
        <v>30000</v>
      </c>
    </row>
    <row r="128" spans="1:6" ht="12.75">
      <c r="A128" s="58" t="s">
        <v>46</v>
      </c>
      <c r="B128" s="405">
        <f>'7 Rozvaha'!G31</f>
        <v>30000</v>
      </c>
      <c r="C128" s="442">
        <f>B128</f>
        <v>30000</v>
      </c>
      <c r="D128" s="468">
        <f>C128</f>
        <v>30000</v>
      </c>
      <c r="E128" s="443">
        <f>D128</f>
        <v>30000</v>
      </c>
      <c r="F128" s="444">
        <f>E128</f>
        <v>30000</v>
      </c>
    </row>
    <row r="129" spans="1:6" ht="12.75">
      <c r="A129" s="34" t="s">
        <v>48</v>
      </c>
      <c r="B129" s="412">
        <f>'7 Rozvaha'!G32</f>
        <v>86182.41711604674</v>
      </c>
      <c r="C129" s="574">
        <f>B129+B130+C89</f>
        <v>111892.26390108772</v>
      </c>
      <c r="D129" s="575">
        <f>C129+C130+D89</f>
        <v>143891.5458381839</v>
      </c>
      <c r="E129" s="576">
        <f>D129+D130+E89</f>
        <v>174168.06694757764</v>
      </c>
      <c r="F129" s="577">
        <f>E129+E130+F89</f>
        <v>204912.99374453854</v>
      </c>
    </row>
    <row r="130" spans="1:6" ht="13.5" thickBot="1">
      <c r="A130" s="47" t="s">
        <v>390</v>
      </c>
      <c r="B130" s="470">
        <f>B37</f>
        <v>48709.84678504098</v>
      </c>
      <c r="C130" s="471">
        <f>C37</f>
        <v>57500.281937096195</v>
      </c>
      <c r="D130" s="472">
        <f>D37</f>
        <v>63752.52110939374</v>
      </c>
      <c r="E130" s="473">
        <f>E37</f>
        <v>66951.9267969609</v>
      </c>
      <c r="F130" s="474">
        <f>F37</f>
        <v>72414.88838304488</v>
      </c>
    </row>
    <row r="131" spans="1:6" ht="12.75">
      <c r="A131" s="54" t="s">
        <v>50</v>
      </c>
      <c r="B131" s="457">
        <f>B132+B133+B135+B140</f>
        <v>375970</v>
      </c>
      <c r="C131" s="458">
        <f>C132+C133+C135+C140</f>
        <v>417622.2236931507</v>
      </c>
      <c r="D131" s="465">
        <f>D132+D133+D135+D140</f>
        <v>432893.8157858192</v>
      </c>
      <c r="E131" s="459">
        <f>E132+E133+E135+E140</f>
        <v>447683.20098722883</v>
      </c>
      <c r="F131" s="460">
        <f>F132+F133+F135+F140</f>
        <v>460216.6922326414</v>
      </c>
    </row>
    <row r="132" spans="1:6" ht="12.75">
      <c r="A132" s="55" t="s">
        <v>51</v>
      </c>
      <c r="B132" s="466">
        <f>'7 Rozvaha'!G35</f>
        <v>5070</v>
      </c>
      <c r="C132" s="570">
        <f>B132+C51</f>
        <v>5070</v>
      </c>
      <c r="D132" s="571">
        <f>C132+D51</f>
        <v>5070</v>
      </c>
      <c r="E132" s="572">
        <f>D132+E51</f>
        <v>5070</v>
      </c>
      <c r="F132" s="573">
        <f>E132+F51</f>
        <v>5070</v>
      </c>
    </row>
    <row r="133" spans="1:6" ht="12.75">
      <c r="A133" s="34" t="s">
        <v>52</v>
      </c>
      <c r="B133" s="412">
        <f>SUM(B134:B134)</f>
        <v>12770</v>
      </c>
      <c r="C133" s="432">
        <f>SUM(C134:C134)</f>
        <v>12770</v>
      </c>
      <c r="D133" s="467">
        <f>SUM(D134:D134)</f>
        <v>12770</v>
      </c>
      <c r="E133" s="433">
        <f>SUM(E134:E134)</f>
        <v>12770</v>
      </c>
      <c r="F133" s="434">
        <f>SUM(F134:F134)</f>
        <v>12770</v>
      </c>
    </row>
    <row r="134" spans="1:6" ht="12.75">
      <c r="A134" s="58" t="s">
        <v>386</v>
      </c>
      <c r="B134" s="405">
        <f>'7 Rozvaha'!G37</f>
        <v>12770</v>
      </c>
      <c r="C134" s="442">
        <f>B134</f>
        <v>12770</v>
      </c>
      <c r="D134" s="468">
        <f>C134</f>
        <v>12770</v>
      </c>
      <c r="E134" s="443">
        <f>D134</f>
        <v>12770</v>
      </c>
      <c r="F134" s="444">
        <f>E134</f>
        <v>12770</v>
      </c>
    </row>
    <row r="135" spans="1:6" ht="12.75">
      <c r="A135" s="34" t="s">
        <v>53</v>
      </c>
      <c r="B135" s="412">
        <f>SUM(B136:B139)</f>
        <v>200754</v>
      </c>
      <c r="C135" s="432">
        <f>SUM(C136:C139)</f>
        <v>242406.2236931507</v>
      </c>
      <c r="D135" s="467">
        <f>SUM(D136:D139)</f>
        <v>257677.81578581917</v>
      </c>
      <c r="E135" s="433">
        <f>SUM(E136:E139)</f>
        <v>272467.20098722883</v>
      </c>
      <c r="F135" s="434">
        <f>SUM(F136:F139)</f>
        <v>285000.6922326414</v>
      </c>
    </row>
    <row r="136" spans="1:6" ht="12.75">
      <c r="A136" s="35" t="s">
        <v>387</v>
      </c>
      <c r="B136" s="397">
        <f>'7 Rozvaha'!G39</f>
        <v>145572</v>
      </c>
      <c r="C136" s="439">
        <f>'16 Generátory'!G58*'16 Generátory'!G$7/365</f>
        <v>174035.2375232877</v>
      </c>
      <c r="D136" s="469">
        <f>'16 Generátory'!H58*'16 Generátory'!H$7/365</f>
        <v>184999.4574872548</v>
      </c>
      <c r="E136" s="440">
        <f>'16 Generátory'!I58*'16 Generátory'!I$7/365</f>
        <v>194619.42927659204</v>
      </c>
      <c r="F136" s="441">
        <f>'16 Generátory'!J58*'16 Generátory'!J$7/365</f>
        <v>203571.9230233153</v>
      </c>
    </row>
    <row r="137" spans="1:6" ht="12.75">
      <c r="A137" s="35" t="s">
        <v>54</v>
      </c>
      <c r="B137" s="397">
        <f>'7 Rozvaha'!G40</f>
        <v>45678</v>
      </c>
      <c r="C137" s="439">
        <f>'16 Generátory'!G59*'16 Generátory'!G$7/365</f>
        <v>55939.89777534247</v>
      </c>
      <c r="D137" s="469">
        <f>'16 Generátory'!H59*'16 Generátory'!H$7/365</f>
        <v>59464.11133518904</v>
      </c>
      <c r="E137" s="440">
        <f>'16 Generátory'!I59*'16 Generátory'!I$7/365</f>
        <v>62556.24512461887</v>
      </c>
      <c r="F137" s="441">
        <f>'16 Generátory'!J59*'16 Generátory'!J$7/365</f>
        <v>65433.83240035134</v>
      </c>
    </row>
    <row r="138" spans="1:6" ht="12.75">
      <c r="A138" s="35" t="s">
        <v>391</v>
      </c>
      <c r="B138" s="397">
        <f>'7 Rozvaha'!G41</f>
        <v>3946</v>
      </c>
      <c r="C138" s="439">
        <f>'16 Generátory'!G60*'16 Generátory'!G$7/365</f>
        <v>4972.43535780822</v>
      </c>
      <c r="D138" s="469">
        <f>'16 Generátory'!H60*'16 Generátory'!H$7/365</f>
        <v>5285.698785350138</v>
      </c>
      <c r="E138" s="440">
        <f>'16 Generátory'!I60*'16 Generátory'!I$7/365</f>
        <v>6255.624512461886</v>
      </c>
      <c r="F138" s="441">
        <f>'16 Generátory'!J60*'16 Generátory'!J$7/365</f>
        <v>6543.383240035134</v>
      </c>
    </row>
    <row r="139" spans="1:6" ht="12.75">
      <c r="A139" s="58" t="s">
        <v>55</v>
      </c>
      <c r="B139" s="405">
        <f>'7 Rozvaha'!G42</f>
        <v>5558</v>
      </c>
      <c r="C139" s="442">
        <f>'16 Generátory'!G61*'16 Generátory'!G$7/365</f>
        <v>7458.65303671233</v>
      </c>
      <c r="D139" s="468">
        <f>'16 Generátory'!H61*'16 Generátory'!H$7/365</f>
        <v>7928.548178025205</v>
      </c>
      <c r="E139" s="443">
        <f>'16 Generátory'!I61*'16 Generátory'!I$7/365</f>
        <v>9035.902073556059</v>
      </c>
      <c r="F139" s="444">
        <f>'16 Generátory'!J61*'16 Generátory'!J$7/365</f>
        <v>9451.553568939638</v>
      </c>
    </row>
    <row r="140" spans="1:6" ht="12.75">
      <c r="A140" s="34" t="s">
        <v>59</v>
      </c>
      <c r="B140" s="412">
        <f>B141+B142</f>
        <v>157376</v>
      </c>
      <c r="C140" s="432">
        <f>C141+C142</f>
        <v>157376</v>
      </c>
      <c r="D140" s="467">
        <f>D141+D142</f>
        <v>157376</v>
      </c>
      <c r="E140" s="433">
        <f>E141+E142</f>
        <v>157376</v>
      </c>
      <c r="F140" s="434">
        <f>F141+F142</f>
        <v>157376</v>
      </c>
    </row>
    <row r="141" spans="1:6" ht="12.75">
      <c r="A141" s="35" t="s">
        <v>61</v>
      </c>
      <c r="B141" s="397">
        <f>'7 Rozvaha'!G44</f>
        <v>120882</v>
      </c>
      <c r="C141" s="439">
        <f aca="true" t="shared" si="3" ref="C141:F143">B141</f>
        <v>120882</v>
      </c>
      <c r="D141" s="469">
        <f t="shared" si="3"/>
        <v>120882</v>
      </c>
      <c r="E141" s="440">
        <f t="shared" si="3"/>
        <v>120882</v>
      </c>
      <c r="F141" s="441">
        <f t="shared" si="3"/>
        <v>120882</v>
      </c>
    </row>
    <row r="142" spans="1:6" ht="13.5" thickBot="1">
      <c r="A142" s="51" t="s">
        <v>389</v>
      </c>
      <c r="B142" s="475">
        <f>'7 Rozvaha'!G45</f>
        <v>36494</v>
      </c>
      <c r="C142" s="476">
        <f t="shared" si="3"/>
        <v>36494</v>
      </c>
      <c r="D142" s="477">
        <f t="shared" si="3"/>
        <v>36494</v>
      </c>
      <c r="E142" s="478">
        <f t="shared" si="3"/>
        <v>36494</v>
      </c>
      <c r="F142" s="479">
        <f t="shared" si="3"/>
        <v>36494</v>
      </c>
    </row>
    <row r="143" spans="1:6" ht="13.5" thickBot="1">
      <c r="A143" s="36" t="s">
        <v>36</v>
      </c>
      <c r="B143" s="480">
        <f>'7 Rozvaha'!G46</f>
        <v>11916</v>
      </c>
      <c r="C143" s="471">
        <f t="shared" si="3"/>
        <v>11916</v>
      </c>
      <c r="D143" s="472">
        <f t="shared" si="3"/>
        <v>11916</v>
      </c>
      <c r="E143" s="473">
        <f t="shared" si="3"/>
        <v>11916</v>
      </c>
      <c r="F143" s="411">
        <f t="shared" si="3"/>
        <v>11916</v>
      </c>
    </row>
    <row r="144" spans="2:6" ht="12.75">
      <c r="B144" s="417"/>
      <c r="C144" s="417"/>
      <c r="D144" s="417"/>
      <c r="E144" s="417"/>
      <c r="F144" s="417"/>
    </row>
    <row r="145" spans="2:6" ht="16.5" customHeight="1">
      <c r="B145" s="417"/>
      <c r="C145" s="417"/>
      <c r="D145" s="417"/>
      <c r="E145" s="417"/>
      <c r="F145" s="417"/>
    </row>
    <row r="146" spans="1:6" ht="21" thickBot="1">
      <c r="A146" s="196" t="s">
        <v>256</v>
      </c>
      <c r="B146" s="417"/>
      <c r="C146" s="417"/>
      <c r="D146" s="417"/>
      <c r="E146" s="417"/>
      <c r="F146" s="417"/>
    </row>
    <row r="147" spans="1:6" ht="13.5" thickBot="1">
      <c r="A147" s="944" t="s">
        <v>455</v>
      </c>
      <c r="B147" s="945">
        <f>B10</f>
        <v>2006</v>
      </c>
      <c r="C147" s="946">
        <f>C10</f>
        <v>2007</v>
      </c>
      <c r="D147" s="947">
        <f>D10</f>
        <v>2008</v>
      </c>
      <c r="E147" s="947">
        <f>E10</f>
        <v>2009</v>
      </c>
      <c r="F147" s="948">
        <f>F10</f>
        <v>2010</v>
      </c>
    </row>
    <row r="148" spans="1:6" ht="13.5" thickBot="1">
      <c r="A148" s="543" t="s">
        <v>454</v>
      </c>
      <c r="B148" s="475">
        <f>B56+B64+B68</f>
        <v>79319.84678504098</v>
      </c>
      <c r="C148" s="476">
        <f>C56+C64+C68</f>
        <v>104404.50983846605</v>
      </c>
      <c r="D148" s="477">
        <f>D56+D64+D68</f>
        <v>107672.12465215905</v>
      </c>
      <c r="E148" s="478">
        <f>E56+E64+E68</f>
        <v>108968.65047379883</v>
      </c>
      <c r="F148" s="479">
        <f>F56+F64+F68</f>
        <v>127492.59195601703</v>
      </c>
    </row>
    <row r="149" ht="12.75"/>
    <row r="150" spans="1:6" ht="13.5" thickBot="1">
      <c r="A150" s="86" t="s">
        <v>180</v>
      </c>
      <c r="B150" s="481"/>
      <c r="C150" s="481"/>
      <c r="D150" s="481"/>
      <c r="E150" s="481"/>
      <c r="F150" s="481"/>
    </row>
    <row r="151" spans="1:6" ht="12.75">
      <c r="A151" s="208" t="s">
        <v>181</v>
      </c>
      <c r="B151" s="547">
        <f>B117/(B135+B142)</f>
        <v>0.14505607592514055</v>
      </c>
      <c r="C151" s="548">
        <f>C117/(C135+C142)</f>
        <v>0.16649421475775666</v>
      </c>
      <c r="D151" s="548">
        <f>D117/(D135+D142)</f>
        <v>0.18364567516685412</v>
      </c>
      <c r="E151" s="548">
        <f>E117/(E135+E142)</f>
        <v>0.1955397754555238</v>
      </c>
      <c r="F151" s="549">
        <f>F117/(F135+F142)</f>
        <v>0.2032552278245257</v>
      </c>
    </row>
    <row r="152" spans="1:6" ht="12.75">
      <c r="A152" s="204" t="s">
        <v>182</v>
      </c>
      <c r="B152" s="550">
        <f>(B115+B117)/(B135+B142)</f>
        <v>0.3942720861760173</v>
      </c>
      <c r="C152" s="551">
        <f>(C115+C117)/(C135+C142)</f>
        <v>0.4339250879907028</v>
      </c>
      <c r="D152" s="551">
        <f>(D115+D117)/(D135+D142)</f>
        <v>0.453166674547632</v>
      </c>
      <c r="E152" s="551">
        <f>(E115+E117)/(E135+E142)</f>
        <v>0.4655035332552383</v>
      </c>
      <c r="F152" s="552">
        <f>(F115+F117)/(F135+F142)</f>
        <v>0.47462863452451076</v>
      </c>
    </row>
    <row r="153" spans="1:6" ht="13.5" thickBot="1">
      <c r="A153" s="94" t="s">
        <v>183</v>
      </c>
      <c r="B153" s="553">
        <f>B111/(B$135+B$142)</f>
        <v>1.010791508889802</v>
      </c>
      <c r="C153" s="554">
        <f>C111/(C$135+C$142)</f>
        <v>1.0467875058162042</v>
      </c>
      <c r="D153" s="554">
        <f>D111/(D$135+D$142)</f>
        <v>1.0932790480769792</v>
      </c>
      <c r="E153" s="554">
        <f>E111/(E$135+E$142)</f>
        <v>1.1516614176628461</v>
      </c>
      <c r="F153" s="555">
        <f>F111/(F$135+F$142)</f>
        <v>1.1643693765536396</v>
      </c>
    </row>
    <row r="154" spans="1:6" ht="12.75">
      <c r="A154" s="31"/>
      <c r="B154" s="481"/>
      <c r="C154" s="481"/>
      <c r="D154" s="481"/>
      <c r="E154" s="481"/>
      <c r="F154" s="481"/>
    </row>
    <row r="155" spans="1:6" ht="13.5" thickBot="1">
      <c r="A155" s="86" t="s">
        <v>187</v>
      </c>
      <c r="B155" s="481"/>
      <c r="C155" s="481"/>
      <c r="D155" s="481"/>
      <c r="E155" s="481"/>
      <c r="F155" s="481"/>
    </row>
    <row r="156" spans="1:6" ht="12.75">
      <c r="A156" s="208" t="s">
        <v>199</v>
      </c>
      <c r="B156" s="216">
        <f>B124/B123</f>
        <v>0.4570375528261679</v>
      </c>
      <c r="C156" s="214">
        <f>C124/C123</f>
        <v>0.45665266075043953</v>
      </c>
      <c r="D156" s="209">
        <f>D124/D123</f>
        <v>0.4730140397130162</v>
      </c>
      <c r="E156" s="209">
        <f>E124/E123</f>
        <v>0.4849443415046131</v>
      </c>
      <c r="F156" s="207">
        <f>F124/F123</f>
        <v>0.4983025661453553</v>
      </c>
    </row>
    <row r="157" spans="1:6" ht="12.75">
      <c r="A157" s="204" t="s">
        <v>189</v>
      </c>
      <c r="B157" s="535">
        <f>(B35+B24)/B24</f>
        <v>7.074532278433963</v>
      </c>
      <c r="C157" s="536">
        <f>(C35+C24)/C24</f>
        <v>9.649851968978895</v>
      </c>
      <c r="D157" s="537">
        <f>(D35+D24)/D24</f>
        <v>10.22619364741032</v>
      </c>
      <c r="E157" s="537">
        <f>(E35+E24)/E24</f>
        <v>10.568092964168615</v>
      </c>
      <c r="F157" s="538">
        <f>(F35+F24)/F24</f>
        <v>11.221041226554625</v>
      </c>
    </row>
    <row r="158" spans="1:6" ht="13.5" thickBot="1">
      <c r="A158" s="94" t="s">
        <v>267</v>
      </c>
      <c r="B158" s="539">
        <f>(B131-B132)/B148</f>
        <v>4.676004997906129</v>
      </c>
      <c r="C158" s="540">
        <f>(C131-C132)/C148</f>
        <v>3.9514789574841993</v>
      </c>
      <c r="D158" s="541">
        <f>(D131-D132)/D148</f>
        <v>3.9733943875253552</v>
      </c>
      <c r="E158" s="541">
        <f>(E131-E132)/E148</f>
        <v>4.061839795782859</v>
      </c>
      <c r="F158" s="542">
        <f>(F131-F132)/F148</f>
        <v>3.5699854026786118</v>
      </c>
    </row>
    <row r="159" spans="1:6" ht="12.75">
      <c r="A159" s="31"/>
      <c r="B159" s="481"/>
      <c r="C159" s="481"/>
      <c r="D159" s="481"/>
      <c r="E159" s="481"/>
      <c r="F159" s="481"/>
    </row>
    <row r="160" ht="13.5" thickBot="1">
      <c r="A160" s="86" t="s">
        <v>809</v>
      </c>
    </row>
    <row r="161" spans="1:6" ht="12.75">
      <c r="A161" s="208" t="s">
        <v>209</v>
      </c>
      <c r="B161" s="216">
        <f>(B35+B24)/B123</f>
        <v>0.10433720128400718</v>
      </c>
      <c r="C161" s="214">
        <f>(C35+C24)/C123</f>
        <v>0.10676873218916255</v>
      </c>
      <c r="D161" s="209">
        <f>(D35+D24)/D123</f>
        <v>0.10597084609247677</v>
      </c>
      <c r="E161" s="209">
        <f>(E35+E24)/E123</f>
        <v>0.10359033307655864</v>
      </c>
      <c r="F161" s="207">
        <f>(F35+F24)/F123</f>
        <v>0.10429384303713442</v>
      </c>
    </row>
    <row r="162" spans="1:6" ht="12.75">
      <c r="A162" s="167" t="s">
        <v>178</v>
      </c>
      <c r="B162" s="217">
        <f>B37/B124</f>
        <v>0.14918685770521148</v>
      </c>
      <c r="C162" s="191">
        <f>C37/C124</f>
        <v>0.15927943611475298</v>
      </c>
      <c r="D162" s="212">
        <f>D37/D124</f>
        <v>0.159679077527755</v>
      </c>
      <c r="E162" s="212">
        <f>E37/E124</f>
        <v>0.15471986634808096</v>
      </c>
      <c r="F162" s="213">
        <f>F37/F124</f>
        <v>0.15442320005049848</v>
      </c>
    </row>
    <row r="163" spans="1:6" ht="12.75">
      <c r="A163" s="204" t="s">
        <v>179</v>
      </c>
      <c r="B163" s="218">
        <f>B37/B11</f>
        <v>0.023703572912459028</v>
      </c>
      <c r="C163" s="190">
        <f>C37/C11</f>
        <v>0.02534533003162977</v>
      </c>
      <c r="D163" s="210">
        <f>D37/D11</f>
        <v>0.026435776761203258</v>
      </c>
      <c r="E163" s="210">
        <f>E37/E11</f>
        <v>0.02639016175893481</v>
      </c>
      <c r="F163" s="205">
        <f>F37/F11</f>
        <v>0.027288216581018605</v>
      </c>
    </row>
    <row r="164" spans="1:6" ht="12.75">
      <c r="A164" s="204" t="s">
        <v>195</v>
      </c>
      <c r="B164" s="218">
        <f>B20/B11</f>
        <v>0.03501872057725754</v>
      </c>
      <c r="C164" s="190">
        <f>C20/C11</f>
        <v>0.03710064911937059</v>
      </c>
      <c r="D164" s="210">
        <f>D20/D11</f>
        <v>0.03696727683811027</v>
      </c>
      <c r="E164" s="210">
        <f>E20/E11</f>
        <v>0.036303800832020894</v>
      </c>
      <c r="F164" s="205">
        <f>F20/F11</f>
        <v>0.03684738133481581</v>
      </c>
    </row>
    <row r="165" spans="1:6" ht="13.5" thickBot="1">
      <c r="A165" s="94" t="s">
        <v>198</v>
      </c>
      <c r="B165" s="219">
        <f>B148/B11</f>
        <v>0.03859925447870029</v>
      </c>
      <c r="C165" s="215">
        <f>C148/C11</f>
        <v>0.04602006580665634</v>
      </c>
      <c r="D165" s="211">
        <f>D148/D11</f>
        <v>0.04464758728246621</v>
      </c>
      <c r="E165" s="211">
        <f>E148/E11</f>
        <v>0.0429517184976208</v>
      </c>
      <c r="F165" s="206">
        <f>F148/F11</f>
        <v>0.04804323447090753</v>
      </c>
    </row>
    <row r="166" spans="1:6" ht="12.75">
      <c r="A166" s="31"/>
      <c r="B166" s="183"/>
      <c r="C166" s="183"/>
      <c r="D166" s="183"/>
      <c r="E166" s="183"/>
      <c r="F166" s="183"/>
    </row>
    <row r="167" ht="13.5" thickBot="1">
      <c r="A167" s="86" t="s">
        <v>808</v>
      </c>
    </row>
    <row r="168" spans="1:6" ht="12.75">
      <c r="A168" s="208" t="s">
        <v>811</v>
      </c>
      <c r="B168" s="216">
        <f>B20*(1-B7)/B11</f>
        <v>0.02661422763871573</v>
      </c>
      <c r="C168" s="214">
        <f>C20*(1-C7)/C11</f>
        <v>0.02819649333072165</v>
      </c>
      <c r="D168" s="209">
        <f>D20*(1-D7)/D11</f>
        <v>0.029204148702107115</v>
      </c>
      <c r="E168" s="209">
        <f>E20*(1-E7)/E11</f>
        <v>0.029043040665616714</v>
      </c>
      <c r="F168" s="207">
        <f>F20*(1-F7)/F11</f>
        <v>0.02984637888120081</v>
      </c>
    </row>
    <row r="169" spans="1:6" ht="13.5" thickBot="1">
      <c r="A169" s="94" t="s">
        <v>810</v>
      </c>
      <c r="B169" s="219">
        <f>B20*(1-B7)/'16 Generátory'!E192</f>
        <v>0.12480786850828099</v>
      </c>
      <c r="C169" s="215">
        <f>C20*(1-C7)/'16 Generátory'!F192</f>
        <v>0.13083900311175606</v>
      </c>
      <c r="D169" s="211">
        <f>D20*(1-D7)/'16 Generátory'!G192</f>
        <v>0.13563856879445998</v>
      </c>
      <c r="E169" s="211">
        <f>E20*(1-E7)/'16 Generátory'!H192</f>
        <v>0.13305039020519957</v>
      </c>
      <c r="F169" s="206">
        <f>F20*(1-F7)/'16 Generátory'!I192</f>
        <v>0.13489991124715686</v>
      </c>
    </row>
    <row r="170" spans="1:6" ht="12.75">
      <c r="A170" s="31"/>
      <c r="B170" s="183"/>
      <c r="C170" s="183"/>
      <c r="D170" s="183"/>
      <c r="E170" s="183"/>
      <c r="F170" s="183"/>
    </row>
    <row r="171" spans="1:6" ht="13.5" thickBot="1">
      <c r="A171" s="86" t="s">
        <v>184</v>
      </c>
      <c r="B171" s="481"/>
      <c r="C171" s="481"/>
      <c r="D171" s="481"/>
      <c r="E171" s="481"/>
      <c r="F171" s="481"/>
    </row>
    <row r="172" spans="1:6" ht="12.75">
      <c r="A172" s="208" t="s">
        <v>459</v>
      </c>
      <c r="B172" s="544">
        <f>B112/(B12/365)</f>
        <v>30.136457853523723</v>
      </c>
      <c r="C172" s="545">
        <f>C112/(C12/365)</f>
        <v>31.89885164134091</v>
      </c>
      <c r="D172" s="556">
        <f>D112/(D12/365)</f>
        <v>33.062645011600935</v>
      </c>
      <c r="E172" s="556">
        <f>E112/(E12/365)</f>
        <v>35.382830626450115</v>
      </c>
      <c r="F172" s="546">
        <f>F112/(F12/365)</f>
        <v>35.382830626450115</v>
      </c>
    </row>
    <row r="173" spans="1:6" ht="12.75">
      <c r="A173" s="204" t="s">
        <v>268</v>
      </c>
      <c r="B173" s="535">
        <f>B115/(B11/365)</f>
        <v>10.5019129344736</v>
      </c>
      <c r="C173" s="536">
        <f>C115/(C11/365)</f>
        <v>12</v>
      </c>
      <c r="D173" s="537">
        <f>D115/(D11/365)</f>
        <v>12</v>
      </c>
      <c r="E173" s="537">
        <f>E115/(E11/365)</f>
        <v>12</v>
      </c>
      <c r="F173" s="538">
        <f>F115/(F11/365)</f>
        <v>11.999999999999998</v>
      </c>
    </row>
    <row r="174" spans="1:6" ht="13.5" thickBot="1">
      <c r="A174" s="94" t="s">
        <v>269</v>
      </c>
      <c r="B174" s="539">
        <f>B136/((B12+B14)/365)</f>
        <v>29.473998937169878</v>
      </c>
      <c r="C174" s="540">
        <f>C136/((C12+C14)/365)</f>
        <v>31.91610623503933</v>
      </c>
      <c r="D174" s="541">
        <f>D136/((D12+D14)/365)</f>
        <v>31.91610623503933</v>
      </c>
      <c r="E174" s="541">
        <f>E136/((E12+E14)/365)</f>
        <v>31.92702394526796</v>
      </c>
      <c r="F174" s="542">
        <f>F136/((F12+F14)/365)</f>
        <v>31.945236737022253</v>
      </c>
    </row>
    <row r="175" spans="2:6" ht="12.75">
      <c r="B175" s="417"/>
      <c r="C175" s="417"/>
      <c r="D175" s="417"/>
      <c r="E175" s="417"/>
      <c r="F175" s="417"/>
    </row>
    <row r="176" spans="2:6" ht="12.75">
      <c r="B176" s="1332"/>
      <c r="C176" s="1332"/>
      <c r="D176" s="1332"/>
      <c r="E176" s="1332"/>
      <c r="F176" s="1332"/>
    </row>
    <row r="177" spans="2:6" ht="12.75">
      <c r="B177" s="417"/>
      <c r="C177" s="417"/>
      <c r="D177" s="417"/>
      <c r="E177" s="417"/>
      <c r="F177" s="417"/>
    </row>
    <row r="178" spans="2:6" ht="12.75">
      <c r="B178" s="417"/>
      <c r="C178" s="417"/>
      <c r="D178" s="417"/>
      <c r="E178" s="417"/>
      <c r="F178" s="417"/>
    </row>
    <row r="179" spans="2:6" ht="12.75">
      <c r="B179" s="417"/>
      <c r="C179" s="417"/>
      <c r="D179" s="417"/>
      <c r="E179" s="417"/>
      <c r="F179" s="417"/>
    </row>
    <row r="180" spans="2:6" ht="12.75">
      <c r="B180" s="417"/>
      <c r="C180" s="417"/>
      <c r="D180" s="417"/>
      <c r="E180" s="417"/>
      <c r="F180" s="417"/>
    </row>
    <row r="181" spans="2:6" ht="12.75">
      <c r="B181" s="417"/>
      <c r="C181" s="417"/>
      <c r="D181" s="417"/>
      <c r="E181" s="417"/>
      <c r="F181" s="417"/>
    </row>
    <row r="182" spans="2:6" ht="12.75">
      <c r="B182" s="417"/>
      <c r="C182" s="417"/>
      <c r="D182" s="417"/>
      <c r="E182" s="417"/>
      <c r="F182" s="417"/>
    </row>
    <row r="183" spans="2:6" ht="12.75">
      <c r="B183" s="417"/>
      <c r="C183" s="417"/>
      <c r="D183" s="417"/>
      <c r="E183" s="417"/>
      <c r="F183" s="417"/>
    </row>
    <row r="184" spans="2:6" ht="12.75">
      <c r="B184" s="417"/>
      <c r="C184" s="417"/>
      <c r="D184" s="417"/>
      <c r="E184" s="417"/>
      <c r="F184" s="417"/>
    </row>
    <row r="185" spans="2:6" ht="12.75">
      <c r="B185" s="417"/>
      <c r="C185" s="417"/>
      <c r="D185" s="417"/>
      <c r="E185" s="417"/>
      <c r="F185" s="417"/>
    </row>
    <row r="186" spans="2:6" ht="12.75">
      <c r="B186" s="417"/>
      <c r="C186" s="417"/>
      <c r="D186" s="417"/>
      <c r="E186" s="417"/>
      <c r="F186" s="417"/>
    </row>
    <row r="187" spans="2:6" ht="12.75">
      <c r="B187" s="417"/>
      <c r="C187" s="417"/>
      <c r="D187" s="417"/>
      <c r="E187" s="417"/>
      <c r="F187" s="417"/>
    </row>
    <row r="188" spans="2:6" ht="12.75">
      <c r="B188" s="417"/>
      <c r="C188" s="417"/>
      <c r="D188" s="417"/>
      <c r="E188" s="417"/>
      <c r="F188" s="417"/>
    </row>
    <row r="189" spans="2:6" ht="12.75">
      <c r="B189" s="417"/>
      <c r="C189" s="417"/>
      <c r="D189" s="417"/>
      <c r="E189" s="417"/>
      <c r="F189" s="417"/>
    </row>
    <row r="190" spans="2:6" ht="12.75">
      <c r="B190" s="417"/>
      <c r="C190" s="417"/>
      <c r="D190" s="417"/>
      <c r="E190" s="417"/>
      <c r="F190" s="417"/>
    </row>
    <row r="191" spans="2:6" ht="12.75">
      <c r="B191" s="417"/>
      <c r="C191" s="417"/>
      <c r="D191" s="417"/>
      <c r="E191" s="417"/>
      <c r="F191" s="417"/>
    </row>
    <row r="192" spans="2:6" ht="12.75">
      <c r="B192" s="417"/>
      <c r="C192" s="417"/>
      <c r="D192" s="417"/>
      <c r="E192" s="417"/>
      <c r="F192" s="417"/>
    </row>
    <row r="193" spans="2:6" ht="12.75">
      <c r="B193" s="417"/>
      <c r="C193" s="417"/>
      <c r="D193" s="417"/>
      <c r="E193" s="417"/>
      <c r="F193" s="417"/>
    </row>
    <row r="194" spans="2:6" ht="12.75">
      <c r="B194" s="417"/>
      <c r="C194" s="417"/>
      <c r="D194" s="417"/>
      <c r="E194" s="417"/>
      <c r="F194" s="417"/>
    </row>
    <row r="195" spans="2:6" ht="12.75">
      <c r="B195" s="417"/>
      <c r="C195" s="417"/>
      <c r="D195" s="417"/>
      <c r="E195" s="417"/>
      <c r="F195" s="417"/>
    </row>
    <row r="196" spans="2:6" ht="12.75">
      <c r="B196" s="417"/>
      <c r="C196" s="417"/>
      <c r="D196" s="417"/>
      <c r="E196" s="417"/>
      <c r="F196" s="417"/>
    </row>
    <row r="197" spans="2:6" ht="12.75">
      <c r="B197" s="417"/>
      <c r="C197" s="417"/>
      <c r="D197" s="417"/>
      <c r="E197" s="417"/>
      <c r="F197" s="417"/>
    </row>
    <row r="198" spans="2:6" ht="12.75">
      <c r="B198" s="417"/>
      <c r="C198" s="417"/>
      <c r="D198" s="417"/>
      <c r="E198" s="417"/>
      <c r="F198" s="417"/>
    </row>
    <row r="199" spans="2:6" ht="12.75">
      <c r="B199" s="417"/>
      <c r="C199" s="417"/>
      <c r="D199" s="417"/>
      <c r="E199" s="417"/>
      <c r="F199" s="417"/>
    </row>
    <row r="200" spans="2:6" ht="12.75">
      <c r="B200" s="417"/>
      <c r="C200" s="417"/>
      <c r="D200" s="417"/>
      <c r="E200" s="417"/>
      <c r="F200" s="417"/>
    </row>
    <row r="201" spans="2:6" ht="12.75">
      <c r="B201" s="417"/>
      <c r="C201" s="417"/>
      <c r="D201" s="417"/>
      <c r="E201" s="417"/>
      <c r="F201" s="417"/>
    </row>
    <row r="202" spans="2:6" ht="12.75">
      <c r="B202" s="417"/>
      <c r="C202" s="417"/>
      <c r="D202" s="417"/>
      <c r="E202" s="417"/>
      <c r="F202" s="417"/>
    </row>
    <row r="203" spans="2:6" ht="12.75">
      <c r="B203" s="417"/>
      <c r="C203" s="417"/>
      <c r="D203" s="417"/>
      <c r="E203" s="417"/>
      <c r="F203" s="417"/>
    </row>
    <row r="204" spans="2:6" ht="12.75">
      <c r="B204" s="417"/>
      <c r="C204" s="417"/>
      <c r="D204" s="417"/>
      <c r="E204" s="417"/>
      <c r="F204" s="417"/>
    </row>
    <row r="205" spans="2:6" ht="12.75">
      <c r="B205" s="417"/>
      <c r="C205" s="417"/>
      <c r="D205" s="417"/>
      <c r="E205" s="417"/>
      <c r="F205" s="417"/>
    </row>
    <row r="206" spans="2:6" ht="12.75">
      <c r="B206" s="417"/>
      <c r="C206" s="417"/>
      <c r="D206" s="417"/>
      <c r="E206" s="417"/>
      <c r="F206" s="417"/>
    </row>
    <row r="207" spans="2:6" ht="12.75">
      <c r="B207" s="417"/>
      <c r="C207" s="417"/>
      <c r="D207" s="417"/>
      <c r="E207" s="417"/>
      <c r="F207" s="417"/>
    </row>
    <row r="208" spans="2:6" ht="12.75">
      <c r="B208" s="417"/>
      <c r="C208" s="417"/>
      <c r="D208" s="417"/>
      <c r="E208" s="417"/>
      <c r="F208" s="417"/>
    </row>
    <row r="209" spans="2:6" ht="12.75">
      <c r="B209" s="417"/>
      <c r="C209" s="417"/>
      <c r="D209" s="417"/>
      <c r="E209" s="417"/>
      <c r="F209" s="417"/>
    </row>
    <row r="210" spans="2:6" ht="12.75">
      <c r="B210" s="417"/>
      <c r="C210" s="417"/>
      <c r="D210" s="417"/>
      <c r="E210" s="417"/>
      <c r="F210" s="417"/>
    </row>
    <row r="211" spans="2:6" ht="12.75">
      <c r="B211" s="417"/>
      <c r="C211" s="417"/>
      <c r="D211" s="417"/>
      <c r="E211" s="417"/>
      <c r="F211" s="417"/>
    </row>
    <row r="212" spans="2:6" ht="12.75">
      <c r="B212" s="417"/>
      <c r="C212" s="417"/>
      <c r="D212" s="417"/>
      <c r="E212" s="417"/>
      <c r="F212" s="417"/>
    </row>
    <row r="213" spans="2:6" ht="12.75">
      <c r="B213" s="417"/>
      <c r="C213" s="417"/>
      <c r="D213" s="417"/>
      <c r="E213" s="417"/>
      <c r="F213" s="417"/>
    </row>
    <row r="214" spans="2:6" ht="12.75">
      <c r="B214" s="417"/>
      <c r="C214" s="417"/>
      <c r="D214" s="417"/>
      <c r="E214" s="417"/>
      <c r="F214" s="417"/>
    </row>
    <row r="215" spans="2:6" ht="12.75">
      <c r="B215" s="417"/>
      <c r="C215" s="417"/>
      <c r="D215" s="417"/>
      <c r="E215" s="417"/>
      <c r="F215" s="417"/>
    </row>
    <row r="216" spans="2:6" ht="12.75">
      <c r="B216" s="417"/>
      <c r="C216" s="417"/>
      <c r="D216" s="417"/>
      <c r="E216" s="417"/>
      <c r="F216" s="417"/>
    </row>
    <row r="217" spans="2:6" ht="12.75">
      <c r="B217" s="417"/>
      <c r="C217" s="417"/>
      <c r="D217" s="417"/>
      <c r="E217" s="417"/>
      <c r="F217" s="417"/>
    </row>
    <row r="218" spans="2:6" ht="12.75">
      <c r="B218" s="417"/>
      <c r="C218" s="417"/>
      <c r="D218" s="417"/>
      <c r="E218" s="417"/>
      <c r="F218" s="417"/>
    </row>
    <row r="219" spans="2:6" ht="12.75">
      <c r="B219" s="417"/>
      <c r="C219" s="417"/>
      <c r="D219" s="417"/>
      <c r="E219" s="417"/>
      <c r="F219" s="417"/>
    </row>
    <row r="220" spans="2:6" ht="12.75">
      <c r="B220" s="417"/>
      <c r="C220" s="417"/>
      <c r="D220" s="417"/>
      <c r="E220" s="417"/>
      <c r="F220" s="417"/>
    </row>
    <row r="221" spans="2:6" ht="12.75">
      <c r="B221" s="417"/>
      <c r="C221" s="417"/>
      <c r="D221" s="417"/>
      <c r="E221" s="417"/>
      <c r="F221" s="417"/>
    </row>
    <row r="222" spans="2:6" ht="12.75">
      <c r="B222" s="417"/>
      <c r="C222" s="417"/>
      <c r="D222" s="417"/>
      <c r="E222" s="417"/>
      <c r="F222" s="417"/>
    </row>
    <row r="223" spans="2:6" ht="12.75">
      <c r="B223" s="417"/>
      <c r="C223" s="417"/>
      <c r="D223" s="417"/>
      <c r="E223" s="417"/>
      <c r="F223" s="417"/>
    </row>
    <row r="224" spans="2:6" ht="12.75">
      <c r="B224" s="417"/>
      <c r="C224" s="417"/>
      <c r="D224" s="417"/>
      <c r="E224" s="417"/>
      <c r="F224" s="417"/>
    </row>
    <row r="225" spans="2:6" ht="12.75">
      <c r="B225" s="417"/>
      <c r="C225" s="417"/>
      <c r="D225" s="417"/>
      <c r="E225" s="417"/>
      <c r="F225" s="417"/>
    </row>
    <row r="226" spans="2:6" ht="12.75">
      <c r="B226" s="417"/>
      <c r="C226" s="417"/>
      <c r="D226" s="417"/>
      <c r="E226" s="417"/>
      <c r="F226" s="417"/>
    </row>
    <row r="227" spans="2:6" ht="12.75">
      <c r="B227" s="417"/>
      <c r="C227" s="417"/>
      <c r="D227" s="417"/>
      <c r="E227" s="417"/>
      <c r="F227" s="417"/>
    </row>
    <row r="228" spans="2:6" ht="12.75">
      <c r="B228" s="417"/>
      <c r="C228" s="417"/>
      <c r="D228" s="417"/>
      <c r="E228" s="417"/>
      <c r="F228" s="417"/>
    </row>
    <row r="229" spans="2:6" ht="12.75">
      <c r="B229" s="417"/>
      <c r="C229" s="417"/>
      <c r="D229" s="417"/>
      <c r="E229" s="417"/>
      <c r="F229" s="417"/>
    </row>
    <row r="230" spans="2:6" ht="12.75">
      <c r="B230" s="417"/>
      <c r="C230" s="417"/>
      <c r="D230" s="417"/>
      <c r="E230" s="417"/>
      <c r="F230" s="417"/>
    </row>
    <row r="231" spans="2:6" ht="12.75">
      <c r="B231" s="417"/>
      <c r="C231" s="417"/>
      <c r="D231" s="417"/>
      <c r="E231" s="417"/>
      <c r="F231" s="417"/>
    </row>
    <row r="232" spans="2:6" ht="12.75">
      <c r="B232" s="417"/>
      <c r="C232" s="417"/>
      <c r="D232" s="417"/>
      <c r="E232" s="417"/>
      <c r="F232" s="417"/>
    </row>
    <row r="233" spans="2:6" ht="12.75">
      <c r="B233" s="417"/>
      <c r="C233" s="417"/>
      <c r="D233" s="417"/>
      <c r="E233" s="417"/>
      <c r="F233" s="417"/>
    </row>
    <row r="234" spans="2:6" ht="12.75">
      <c r="B234" s="417"/>
      <c r="C234" s="417"/>
      <c r="D234" s="417"/>
      <c r="E234" s="417"/>
      <c r="F234" s="417"/>
    </row>
    <row r="235" spans="2:6" ht="12.75">
      <c r="B235" s="417"/>
      <c r="C235" s="417"/>
      <c r="D235" s="417"/>
      <c r="E235" s="417"/>
      <c r="F235" s="417"/>
    </row>
    <row r="236" spans="2:6" ht="12.75">
      <c r="B236" s="417"/>
      <c r="C236" s="417"/>
      <c r="D236" s="417"/>
      <c r="E236" s="417"/>
      <c r="F236" s="417"/>
    </row>
    <row r="237" spans="2:6" ht="12.75">
      <c r="B237" s="417"/>
      <c r="C237" s="417"/>
      <c r="D237" s="417"/>
      <c r="E237" s="417"/>
      <c r="F237" s="417"/>
    </row>
    <row r="238" spans="2:6" ht="12.75">
      <c r="B238" s="417"/>
      <c r="C238" s="417"/>
      <c r="D238" s="417"/>
      <c r="E238" s="417"/>
      <c r="F238" s="417"/>
    </row>
    <row r="239" spans="2:6" ht="12.75">
      <c r="B239" s="417"/>
      <c r="C239" s="417"/>
      <c r="D239" s="417"/>
      <c r="E239" s="417"/>
      <c r="F239" s="417"/>
    </row>
    <row r="240" spans="2:6" ht="12.75">
      <c r="B240" s="417"/>
      <c r="C240" s="417"/>
      <c r="D240" s="417"/>
      <c r="E240" s="417"/>
      <c r="F240" s="417"/>
    </row>
    <row r="241" spans="2:6" ht="12.75">
      <c r="B241" s="417"/>
      <c r="C241" s="417"/>
      <c r="D241" s="417"/>
      <c r="E241" s="417"/>
      <c r="F241" s="417"/>
    </row>
    <row r="242" spans="2:6" ht="12.75">
      <c r="B242" s="417"/>
      <c r="C242" s="417"/>
      <c r="D242" s="417"/>
      <c r="E242" s="417"/>
      <c r="F242" s="417"/>
    </row>
    <row r="243" spans="2:6" ht="12.75">
      <c r="B243" s="417"/>
      <c r="C243" s="417"/>
      <c r="D243" s="417"/>
      <c r="E243" s="417"/>
      <c r="F243" s="417"/>
    </row>
    <row r="244" spans="2:6" ht="12.75">
      <c r="B244" s="417"/>
      <c r="C244" s="417"/>
      <c r="D244" s="417"/>
      <c r="E244" s="417"/>
      <c r="F244" s="417"/>
    </row>
    <row r="245" spans="2:6" ht="12.75">
      <c r="B245" s="417"/>
      <c r="C245" s="417"/>
      <c r="D245" s="417"/>
      <c r="E245" s="417"/>
      <c r="F245" s="417"/>
    </row>
    <row r="246" spans="2:6" ht="12.75">
      <c r="B246" s="417"/>
      <c r="C246" s="417"/>
      <c r="D246" s="417"/>
      <c r="E246" s="417"/>
      <c r="F246" s="417"/>
    </row>
    <row r="247" spans="2:6" ht="12.75">
      <c r="B247" s="417"/>
      <c r="C247" s="417"/>
      <c r="D247" s="417"/>
      <c r="E247" s="417"/>
      <c r="F247" s="417"/>
    </row>
    <row r="248" spans="2:6" ht="12.75">
      <c r="B248" s="417"/>
      <c r="C248" s="417"/>
      <c r="D248" s="417"/>
      <c r="E248" s="417"/>
      <c r="F248" s="417"/>
    </row>
    <row r="249" spans="2:6" ht="12.75">
      <c r="B249" s="417"/>
      <c r="C249" s="417"/>
      <c r="D249" s="417"/>
      <c r="E249" s="417"/>
      <c r="F249" s="417"/>
    </row>
    <row r="250" spans="2:6" ht="12.75">
      <c r="B250" s="417"/>
      <c r="C250" s="417"/>
      <c r="D250" s="417"/>
      <c r="E250" s="417"/>
      <c r="F250" s="417"/>
    </row>
    <row r="251" spans="2:6" ht="12.75">
      <c r="B251" s="417"/>
      <c r="C251" s="417"/>
      <c r="D251" s="417"/>
      <c r="E251" s="417"/>
      <c r="F251" s="417"/>
    </row>
    <row r="252" spans="2:6" ht="12.75">
      <c r="B252" s="417"/>
      <c r="C252" s="417"/>
      <c r="D252" s="417"/>
      <c r="E252" s="417"/>
      <c r="F252" s="417"/>
    </row>
    <row r="253" spans="2:6" ht="12.75">
      <c r="B253" s="417"/>
      <c r="C253" s="417"/>
      <c r="D253" s="417"/>
      <c r="E253" s="417"/>
      <c r="F253" s="417"/>
    </row>
    <row r="254" spans="2:6" ht="12.75">
      <c r="B254" s="417"/>
      <c r="C254" s="417"/>
      <c r="D254" s="417"/>
      <c r="E254" s="417"/>
      <c r="F254" s="417"/>
    </row>
    <row r="255" spans="2:6" ht="12.75">
      <c r="B255" s="417"/>
      <c r="C255" s="417"/>
      <c r="D255" s="417"/>
      <c r="E255" s="417"/>
      <c r="F255" s="417"/>
    </row>
    <row r="256" spans="2:6" ht="12.75">
      <c r="B256" s="417"/>
      <c r="C256" s="417"/>
      <c r="D256" s="417"/>
      <c r="E256" s="417"/>
      <c r="F256" s="417"/>
    </row>
    <row r="257" spans="2:6" ht="12.75">
      <c r="B257" s="417"/>
      <c r="C257" s="417"/>
      <c r="D257" s="417"/>
      <c r="E257" s="417"/>
      <c r="F257" s="417"/>
    </row>
    <row r="258" spans="2:6" ht="12.75">
      <c r="B258" s="417"/>
      <c r="C258" s="417"/>
      <c r="D258" s="417"/>
      <c r="E258" s="417"/>
      <c r="F258" s="417"/>
    </row>
    <row r="259" spans="2:6" ht="12.75">
      <c r="B259" s="417"/>
      <c r="C259" s="417"/>
      <c r="D259" s="417"/>
      <c r="E259" s="417"/>
      <c r="F259" s="417"/>
    </row>
    <row r="260" spans="2:6" ht="12.75">
      <c r="B260" s="417"/>
      <c r="C260" s="417"/>
      <c r="D260" s="417"/>
      <c r="E260" s="417"/>
      <c r="F260" s="417"/>
    </row>
    <row r="261" spans="2:6" ht="12.75">
      <c r="B261" s="417"/>
      <c r="C261" s="417"/>
      <c r="D261" s="417"/>
      <c r="E261" s="417"/>
      <c r="F261" s="417"/>
    </row>
    <row r="262" spans="2:6" ht="12.75">
      <c r="B262" s="417"/>
      <c r="C262" s="417"/>
      <c r="D262" s="417"/>
      <c r="E262" s="417"/>
      <c r="F262" s="417"/>
    </row>
    <row r="263" spans="2:6" ht="12.75">
      <c r="B263" s="417"/>
      <c r="C263" s="417"/>
      <c r="D263" s="417"/>
      <c r="E263" s="417"/>
      <c r="F263" s="417"/>
    </row>
    <row r="264" spans="2:6" ht="12.75">
      <c r="B264" s="417"/>
      <c r="C264" s="417"/>
      <c r="D264" s="417"/>
      <c r="E264" s="417"/>
      <c r="F264" s="417"/>
    </row>
    <row r="265" spans="2:6" ht="12.75">
      <c r="B265" s="417"/>
      <c r="C265" s="417"/>
      <c r="D265" s="417"/>
      <c r="E265" s="417"/>
      <c r="F265" s="417"/>
    </row>
    <row r="266" spans="2:6" ht="12.75">
      <c r="B266" s="417"/>
      <c r="C266" s="417"/>
      <c r="D266" s="417"/>
      <c r="E266" s="417"/>
      <c r="F266" s="417"/>
    </row>
    <row r="267" spans="2:6" ht="12.75">
      <c r="B267" s="417"/>
      <c r="C267" s="417"/>
      <c r="D267" s="417"/>
      <c r="E267" s="417"/>
      <c r="F267" s="417"/>
    </row>
    <row r="268" spans="2:6" ht="12.75">
      <c r="B268" s="417"/>
      <c r="C268" s="417"/>
      <c r="D268" s="417"/>
      <c r="E268" s="417"/>
      <c r="F268" s="417"/>
    </row>
    <row r="269" spans="2:6" ht="12.75">
      <c r="B269" s="417"/>
      <c r="C269" s="417"/>
      <c r="D269" s="417"/>
      <c r="E269" s="417"/>
      <c r="F269" s="417"/>
    </row>
    <row r="270" spans="2:6" ht="12.75">
      <c r="B270" s="417"/>
      <c r="C270" s="417"/>
      <c r="D270" s="417"/>
      <c r="E270" s="417"/>
      <c r="F270" s="417"/>
    </row>
    <row r="271" spans="2:6" ht="12.75">
      <c r="B271" s="417"/>
      <c r="C271" s="417"/>
      <c r="D271" s="417"/>
      <c r="E271" s="417"/>
      <c r="F271" s="417"/>
    </row>
  </sheetData>
  <sheetProtection/>
  <hyperlinks>
    <hyperlink ref="F1" location="Obsah!A1" display="Skok na obsah"/>
  </hyperlinks>
  <printOptions/>
  <pageMargins left="0.3937007874015748" right="0.3937007874015748" top="0.7874015748031497" bottom="0.5905511811023623"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rowBreaks count="2" manualBreakCount="2">
    <brk id="38" max="255" man="1"/>
    <brk id="145" max="255" man="1"/>
  </rowBreaks>
  <ignoredErrors>
    <ignoredError sqref="C12:F12 B148 B12 B15:B37 B89:F89 B103:B143 C103:D109 C111:D126 C128:D143 C11 D11:F11 B11 B13 D17:F37 C17:C34 C36:C37" unlockedFormula="1"/>
    <ignoredError sqref="C127:D127 B14 C110:D110" formula="1" unlockedFormula="1"/>
    <ignoredError sqref="C110:D110" formulaRange="1" unlockedFormula="1"/>
    <ignoredError sqref="E127:F127" formula="1"/>
  </ignoredErrors>
  <legacyDrawing r:id="rId2"/>
</worksheet>
</file>

<file path=xl/worksheets/sheet2.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2.75"/>
  <cols>
    <col min="1" max="1" width="30.75390625" style="0" customWidth="1"/>
    <col min="2" max="2" width="11.75390625" style="0" customWidth="1"/>
    <col min="10" max="10" width="1.00390625" style="0" customWidth="1"/>
  </cols>
  <sheetData>
    <row r="1" spans="1:9" s="582" customFormat="1" ht="21" customHeight="1">
      <c r="A1" s="581" t="s">
        <v>535</v>
      </c>
      <c r="I1" s="1167" t="s">
        <v>672</v>
      </c>
    </row>
    <row r="2" s="582" customFormat="1" ht="21" customHeight="1">
      <c r="A2" s="583" t="s">
        <v>536</v>
      </c>
    </row>
    <row r="3" spans="1:2" ht="12.75">
      <c r="A3" s="1254" t="s">
        <v>710</v>
      </c>
      <c r="B3" s="1255" t="s">
        <v>711</v>
      </c>
    </row>
    <row r="4" spans="1:2" ht="38.25">
      <c r="A4" s="1256" t="s">
        <v>143</v>
      </c>
      <c r="B4" s="1257" t="s">
        <v>708</v>
      </c>
    </row>
    <row r="5" spans="1:2" ht="12.75">
      <c r="A5" s="1251">
        <f>'4 Vnější potenciál'!A5</f>
        <v>1995</v>
      </c>
      <c r="B5" s="603">
        <f>'4 Vnější potenciál'!J5</f>
        <v>205220.527535</v>
      </c>
    </row>
    <row r="6" spans="1:2" ht="12.75">
      <c r="A6" s="1251">
        <f>'4 Vnější potenciál'!A6</f>
        <v>1996</v>
      </c>
      <c r="B6" s="603">
        <f>'4 Vnější potenciál'!J6</f>
        <v>232796.886504</v>
      </c>
    </row>
    <row r="7" spans="1:2" ht="12.75">
      <c r="A7" s="1251">
        <f>'4 Vnější potenciál'!A7</f>
        <v>1997</v>
      </c>
      <c r="B7" s="603">
        <f>'4 Vnější potenciál'!J7</f>
        <v>250017.87313</v>
      </c>
    </row>
    <row r="8" spans="1:2" ht="12.75">
      <c r="A8" s="1251">
        <f>'4 Vnější potenciál'!A8</f>
        <v>1998</v>
      </c>
      <c r="B8" s="603">
        <f>'4 Vnější potenciál'!J8</f>
        <v>265661.004115</v>
      </c>
    </row>
    <row r="9" spans="1:2" ht="12.75">
      <c r="A9" s="1251">
        <f>'4 Vnější potenciál'!A9</f>
        <v>1999</v>
      </c>
      <c r="B9" s="603">
        <f>'4 Vnější potenciál'!J9</f>
        <v>262159.57808</v>
      </c>
    </row>
    <row r="10" spans="1:2" ht="12.75">
      <c r="A10" s="1251">
        <f>'4 Vnější potenciál'!A10</f>
        <v>2000</v>
      </c>
      <c r="B10" s="603">
        <f>'4 Vnější potenciál'!J10</f>
        <v>265369.569999</v>
      </c>
    </row>
    <row r="11" spans="1:2" ht="12.75">
      <c r="A11" s="1251">
        <f>'4 Vnější potenciál'!A11</f>
        <v>2001</v>
      </c>
      <c r="B11" s="603">
        <f>'4 Vnější potenciál'!J11</f>
        <v>277934.435328</v>
      </c>
    </row>
    <row r="12" spans="1:2" ht="12.75">
      <c r="A12" s="1251">
        <f>'4 Vnější potenciál'!A12</f>
        <v>2002</v>
      </c>
      <c r="B12" s="603">
        <f>'4 Vnější potenciál'!J12</f>
        <v>280521.285</v>
      </c>
    </row>
    <row r="13" spans="1:2" ht="12.75">
      <c r="A13" s="1251">
        <f>'4 Vnější potenciál'!A13</f>
        <v>2003</v>
      </c>
      <c r="B13" s="603">
        <f>'4 Vnější potenciál'!J13</f>
        <v>285901.269275</v>
      </c>
    </row>
    <row r="14" spans="1:2" ht="12.75">
      <c r="A14" s="1251">
        <f>'4 Vnější potenciál'!A14</f>
        <v>2004</v>
      </c>
      <c r="B14" s="603">
        <f>'4 Vnější potenciál'!J14</f>
        <v>291581.169341</v>
      </c>
    </row>
    <row r="15" spans="1:2" ht="12.75">
      <c r="A15" s="1251">
        <f>'4 Vnější potenciál'!A15</f>
        <v>2005</v>
      </c>
      <c r="B15" s="603">
        <f>'4 Vnější potenciál'!J15</f>
        <v>297423.181704</v>
      </c>
    </row>
    <row r="16" spans="1:2" ht="12.75">
      <c r="A16" s="1252">
        <f>'4 Vnější potenciál'!A16</f>
        <v>2006</v>
      </c>
      <c r="B16" s="1253">
        <f>'4 Vnější potenciál'!J16</f>
        <v>313189.268295</v>
      </c>
    </row>
    <row r="17" ht="12.75">
      <c r="B17" s="15"/>
    </row>
    <row r="18" ht="12.75">
      <c r="A18" s="1232" t="s">
        <v>145</v>
      </c>
    </row>
    <row r="19" ht="13.5" thickBot="1"/>
    <row r="20" spans="1:2" ht="12.75">
      <c r="A20" s="21" t="s">
        <v>146</v>
      </c>
      <c r="B20" s="21"/>
    </row>
    <row r="21" spans="1:3" ht="12.75">
      <c r="A21" s="1258" t="s">
        <v>147</v>
      </c>
      <c r="B21" s="1258">
        <v>0.9523083633978717</v>
      </c>
      <c r="C21" s="1259" t="s">
        <v>712</v>
      </c>
    </row>
    <row r="22" spans="1:3" ht="12.75">
      <c r="A22" s="1258" t="s">
        <v>148</v>
      </c>
      <c r="B22" s="1258">
        <v>0.906891218997533</v>
      </c>
      <c r="C22" s="1259" t="s">
        <v>713</v>
      </c>
    </row>
    <row r="23" spans="1:2" ht="12.75">
      <c r="A23" s="18" t="s">
        <v>149</v>
      </c>
      <c r="B23" s="18">
        <v>0.8975803408972863</v>
      </c>
    </row>
    <row r="24" spans="1:2" ht="12.75">
      <c r="A24" s="18" t="s">
        <v>150</v>
      </c>
      <c r="B24" s="18">
        <v>9443.799624597706</v>
      </c>
    </row>
    <row r="25" spans="1:2" ht="13.5" thickBot="1">
      <c r="A25" s="19" t="s">
        <v>151</v>
      </c>
      <c r="B25" s="19">
        <v>12</v>
      </c>
    </row>
    <row r="27" ht="13.5" thickBot="1">
      <c r="A27" t="s">
        <v>152</v>
      </c>
    </row>
    <row r="28" spans="1:6" ht="25.5">
      <c r="A28" s="20"/>
      <c r="B28" s="1260" t="s">
        <v>157</v>
      </c>
      <c r="C28" s="1260" t="s">
        <v>158</v>
      </c>
      <c r="D28" s="1260" t="s">
        <v>159</v>
      </c>
      <c r="E28" s="1260" t="s">
        <v>160</v>
      </c>
      <c r="F28" s="1260" t="s">
        <v>161</v>
      </c>
    </row>
    <row r="29" spans="1:6" ht="12.75">
      <c r="A29" s="18" t="s">
        <v>153</v>
      </c>
      <c r="B29" s="18">
        <v>1</v>
      </c>
      <c r="C29" s="18">
        <v>8686765214.97744</v>
      </c>
      <c r="D29" s="18">
        <v>8686765214.97744</v>
      </c>
      <c r="E29" s="18">
        <v>97.40125573908047</v>
      </c>
      <c r="F29" s="18">
        <v>1.7931822096485005E-06</v>
      </c>
    </row>
    <row r="30" spans="1:6" ht="12.75">
      <c r="A30" s="18" t="s">
        <v>154</v>
      </c>
      <c r="B30" s="18">
        <v>10</v>
      </c>
      <c r="C30" s="18">
        <v>891853513.495518</v>
      </c>
      <c r="D30" s="18">
        <v>89185351.3495518</v>
      </c>
      <c r="E30" s="18"/>
      <c r="F30" s="18"/>
    </row>
    <row r="31" spans="1:6" ht="13.5" thickBot="1">
      <c r="A31" s="19" t="s">
        <v>155</v>
      </c>
      <c r="B31" s="19">
        <v>11</v>
      </c>
      <c r="C31" s="19">
        <v>9578618728.472958</v>
      </c>
      <c r="D31" s="19"/>
      <c r="E31" s="19"/>
      <c r="F31" s="19"/>
    </row>
    <row r="32" ht="13.5" thickBot="1"/>
    <row r="33" spans="1:9" ht="27.75" customHeight="1">
      <c r="A33" s="579"/>
      <c r="B33" s="579" t="s">
        <v>162</v>
      </c>
      <c r="C33" s="1261" t="s">
        <v>150</v>
      </c>
      <c r="D33" s="1260" t="s">
        <v>163</v>
      </c>
      <c r="E33" s="1260" t="s">
        <v>164</v>
      </c>
      <c r="F33" s="1260" t="s">
        <v>165</v>
      </c>
      <c r="G33" s="1260" t="s">
        <v>166</v>
      </c>
      <c r="H33" s="1260" t="s">
        <v>167</v>
      </c>
      <c r="I33" s="1260" t="s">
        <v>168</v>
      </c>
    </row>
    <row r="34" spans="1:9" ht="12.75">
      <c r="A34" s="578" t="s">
        <v>156</v>
      </c>
      <c r="B34" s="578">
        <v>-15322937.979589645</v>
      </c>
      <c r="C34" s="18">
        <v>1579857.6132826614</v>
      </c>
      <c r="D34" s="18">
        <v>-9.69893606282108</v>
      </c>
      <c r="E34" s="18">
        <v>2.1020578196460254E-06</v>
      </c>
      <c r="F34" s="18">
        <v>-18843080.09324697</v>
      </c>
      <c r="G34" s="18">
        <v>-11802795.865932321</v>
      </c>
      <c r="H34" s="18">
        <v>-18843080.09324697</v>
      </c>
      <c r="I34" s="18">
        <v>-11802795.865932321</v>
      </c>
    </row>
    <row r="35" spans="1:9" ht="13.5" thickBot="1">
      <c r="A35" s="580" t="s">
        <v>143</v>
      </c>
      <c r="B35" s="580">
        <v>7794.011155685317</v>
      </c>
      <c r="C35" s="19">
        <v>789.7301980177797</v>
      </c>
      <c r="D35" s="19">
        <v>9.86920745242902</v>
      </c>
      <c r="E35" s="19">
        <v>1.7931822096484984E-06</v>
      </c>
      <c r="F35" s="19">
        <v>6034.38262644523</v>
      </c>
      <c r="G35" s="19">
        <v>9553.639684925405</v>
      </c>
      <c r="H35" s="19">
        <v>6034.38262644523</v>
      </c>
      <c r="I35" s="19">
        <v>9553.639684925405</v>
      </c>
    </row>
  </sheetData>
  <sheetProtection/>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20.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9.00390625" defaultRowHeight="12.75"/>
  <cols>
    <col min="1" max="1" width="54.00390625" style="0" bestFit="1" customWidth="1"/>
    <col min="4" max="4" width="13.375" style="0" customWidth="1"/>
  </cols>
  <sheetData>
    <row r="1" ht="15.75">
      <c r="A1" s="965" t="s">
        <v>597</v>
      </c>
    </row>
    <row r="2" ht="12.75">
      <c r="D2" s="1167" t="s">
        <v>672</v>
      </c>
    </row>
    <row r="3" spans="1:2" ht="18" customHeight="1">
      <c r="A3" s="970" t="s">
        <v>374</v>
      </c>
      <c r="B3" s="1297">
        <v>0.0398</v>
      </c>
    </row>
    <row r="4" spans="1:2" ht="18" customHeight="1">
      <c r="A4" s="972" t="s">
        <v>754</v>
      </c>
      <c r="B4" s="972">
        <v>0.55</v>
      </c>
    </row>
    <row r="5" spans="1:2" ht="18" customHeight="1">
      <c r="A5" s="972" t="s">
        <v>750</v>
      </c>
      <c r="B5" s="973">
        <v>0.0491</v>
      </c>
    </row>
    <row r="6" spans="1:2" ht="18" customHeight="1">
      <c r="A6" s="974" t="s">
        <v>371</v>
      </c>
      <c r="B6" s="975" t="s">
        <v>751</v>
      </c>
    </row>
    <row r="7" spans="1:2" ht="18" customHeight="1">
      <c r="A7" s="582"/>
      <c r="B7" s="582"/>
    </row>
    <row r="8" spans="1:2" ht="18" customHeight="1">
      <c r="A8" s="970" t="s">
        <v>752</v>
      </c>
      <c r="B8" s="1297">
        <v>0.007</v>
      </c>
    </row>
    <row r="9" spans="1:2" ht="18" customHeight="1">
      <c r="A9" s="972" t="s">
        <v>373</v>
      </c>
      <c r="B9" s="972">
        <v>1.5</v>
      </c>
    </row>
    <row r="10" spans="1:6" ht="18" customHeight="1">
      <c r="A10" s="974" t="s">
        <v>372</v>
      </c>
      <c r="B10" s="1296">
        <f>B8*B9</f>
        <v>0.0105</v>
      </c>
      <c r="F10" s="1391"/>
    </row>
    <row r="11" spans="1:6" ht="18" customHeight="1">
      <c r="A11" s="967" t="s">
        <v>753</v>
      </c>
      <c r="B11" s="1298">
        <f>B10+0.006</f>
        <v>0.0165</v>
      </c>
      <c r="F11" s="1392"/>
    </row>
    <row r="12" spans="1:2" ht="18" customHeight="1">
      <c r="A12" s="582"/>
      <c r="B12" s="582"/>
    </row>
    <row r="13" spans="1:2" ht="18" customHeight="1">
      <c r="A13" s="970" t="s">
        <v>375</v>
      </c>
      <c r="B13" s="971">
        <v>0.02</v>
      </c>
    </row>
    <row r="14" spans="1:3" ht="18" customHeight="1">
      <c r="A14" s="974" t="s">
        <v>376</v>
      </c>
      <c r="B14" s="976">
        <v>0.015</v>
      </c>
      <c r="C14" s="5"/>
    </row>
    <row r="15" spans="1:3" ht="18" customHeight="1">
      <c r="A15" s="582"/>
      <c r="B15" s="582"/>
      <c r="C15" s="5"/>
    </row>
    <row r="16" spans="1:3" ht="18" customHeight="1">
      <c r="A16" s="970" t="s">
        <v>377</v>
      </c>
      <c r="B16" s="1432">
        <v>0.32</v>
      </c>
      <c r="C16" s="5"/>
    </row>
    <row r="17" spans="1:3" ht="18" customHeight="1">
      <c r="A17" s="974" t="s">
        <v>378</v>
      </c>
      <c r="B17" s="977">
        <f>'18 Plán'!F7</f>
        <v>0.19</v>
      </c>
      <c r="C17" s="5"/>
    </row>
    <row r="18" spans="1:3" ht="18" customHeight="1">
      <c r="A18" s="582"/>
      <c r="B18" s="582"/>
      <c r="C18" s="5"/>
    </row>
    <row r="19" spans="1:3" ht="18" customHeight="1">
      <c r="A19" s="967" t="s">
        <v>379</v>
      </c>
      <c r="B19" s="1419">
        <f>B4*(1+B16*(1-B17))</f>
        <v>0.6925600000000001</v>
      </c>
      <c r="C19" s="5"/>
    </row>
    <row r="20" spans="1:3" ht="18" customHeight="1">
      <c r="A20" s="582"/>
      <c r="B20" s="582"/>
      <c r="C20" s="5"/>
    </row>
    <row r="21" spans="1:3" ht="18" customHeight="1">
      <c r="A21" s="968" t="s">
        <v>359</v>
      </c>
      <c r="B21" s="969">
        <f>ROUND(B3+B5*B19+B11+B13+B14,3)</f>
        <v>0.125</v>
      </c>
      <c r="C21" s="1423"/>
    </row>
    <row r="22" ht="12.75">
      <c r="C22" s="5"/>
    </row>
  </sheetData>
  <sheetProtection/>
  <hyperlinks>
    <hyperlink ref="D2"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21.xml><?xml version="1.0" encoding="utf-8"?>
<worksheet xmlns="http://schemas.openxmlformats.org/spreadsheetml/2006/main" xmlns:r="http://schemas.openxmlformats.org/officeDocument/2006/relationships">
  <dimension ref="A1:H84"/>
  <sheetViews>
    <sheetView zoomScalePageLayoutView="0" workbookViewId="0" topLeftCell="A1">
      <selection activeCell="A1" sqref="A1"/>
    </sheetView>
  </sheetViews>
  <sheetFormatPr defaultColWidth="9.00390625" defaultRowHeight="12.75"/>
  <cols>
    <col min="1" max="1" width="26.375" style="0" customWidth="1"/>
    <col min="2" max="2" width="13.625" style="0" customWidth="1"/>
    <col min="3" max="3" width="11.625" style="0" customWidth="1"/>
    <col min="4" max="4" width="13.00390625" style="0" customWidth="1"/>
    <col min="5" max="5" width="12.125" style="0" customWidth="1"/>
    <col min="6" max="6" width="14.75390625" style="0" customWidth="1"/>
    <col min="7" max="7" width="6.875" style="0" customWidth="1"/>
    <col min="8" max="8" width="8.375" style="0" customWidth="1"/>
  </cols>
  <sheetData>
    <row r="1" spans="1:8" ht="15.75">
      <c r="A1" s="965" t="s">
        <v>598</v>
      </c>
      <c r="G1" s="1451" t="s">
        <v>672</v>
      </c>
      <c r="H1" s="1451"/>
    </row>
    <row r="2" ht="13.5" thickBot="1"/>
    <row r="3" spans="1:4" ht="48" thickBot="1">
      <c r="A3" s="1006"/>
      <c r="B3" s="1007" t="s">
        <v>365</v>
      </c>
      <c r="C3" s="1008" t="s">
        <v>322</v>
      </c>
      <c r="D3" s="1009" t="s">
        <v>323</v>
      </c>
    </row>
    <row r="4" spans="1:8" ht="15.75">
      <c r="A4" s="285" t="s">
        <v>324</v>
      </c>
      <c r="B4" s="286">
        <f>SUM(B5:B10)</f>
        <v>23</v>
      </c>
      <c r="C4" s="987"/>
      <c r="D4" s="989">
        <f>SUM(D5:D10)</f>
        <v>23</v>
      </c>
      <c r="E4" s="982" t="s">
        <v>596</v>
      </c>
      <c r="F4" s="982"/>
      <c r="G4" s="982"/>
      <c r="H4" s="995">
        <v>0.044</v>
      </c>
    </row>
    <row r="5" spans="1:8" ht="16.5">
      <c r="A5" s="287" t="s">
        <v>325</v>
      </c>
      <c r="B5" s="288">
        <f>C26</f>
        <v>4</v>
      </c>
      <c r="C5" s="992">
        <v>1</v>
      </c>
      <c r="D5" s="204">
        <f>B5*C5</f>
        <v>4</v>
      </c>
      <c r="E5" s="31" t="s">
        <v>367</v>
      </c>
      <c r="F5" s="31"/>
      <c r="G5" s="31"/>
      <c r="H5" s="985">
        <f>H4/D12</f>
        <v>0.0014285714285714284</v>
      </c>
    </row>
    <row r="6" spans="1:8" ht="16.5">
      <c r="A6" s="290" t="s">
        <v>326</v>
      </c>
      <c r="B6" s="288">
        <f>C33</f>
        <v>3</v>
      </c>
      <c r="C6" s="992">
        <v>1</v>
      </c>
      <c r="D6" s="204">
        <f aca="true" t="shared" si="0" ref="D6:D11">B6*C6</f>
        <v>3</v>
      </c>
      <c r="E6" s="31" t="s">
        <v>366</v>
      </c>
      <c r="F6" s="31"/>
      <c r="G6" s="31"/>
      <c r="H6" s="996">
        <v>0.3</v>
      </c>
    </row>
    <row r="7" spans="1:8" ht="16.5">
      <c r="A7" s="290" t="s">
        <v>327</v>
      </c>
      <c r="B7" s="288">
        <f>C40</f>
        <v>6</v>
      </c>
      <c r="C7" s="992">
        <v>1</v>
      </c>
      <c r="D7" s="204">
        <f t="shared" si="0"/>
        <v>6</v>
      </c>
      <c r="E7" s="330" t="s">
        <v>862</v>
      </c>
      <c r="F7" s="330"/>
      <c r="G7" s="330"/>
      <c r="H7" s="986">
        <f>(H6/H4)^(1/4)</f>
        <v>1.6159099106495596</v>
      </c>
    </row>
    <row r="8" spans="1:5" ht="15.75">
      <c r="A8" s="290" t="s">
        <v>328</v>
      </c>
      <c r="B8" s="288">
        <f>C47</f>
        <v>3</v>
      </c>
      <c r="C8" s="992">
        <v>1</v>
      </c>
      <c r="D8" s="204">
        <f t="shared" si="0"/>
        <v>3</v>
      </c>
      <c r="E8" s="281"/>
    </row>
    <row r="9" spans="1:5" ht="15.75">
      <c r="A9" s="290" t="s">
        <v>329</v>
      </c>
      <c r="B9" s="288">
        <f>C54</f>
        <v>3</v>
      </c>
      <c r="C9" s="992">
        <v>1</v>
      </c>
      <c r="D9" s="204">
        <f t="shared" si="0"/>
        <v>3</v>
      </c>
      <c r="E9" s="281"/>
    </row>
    <row r="10" spans="1:4" ht="15.75">
      <c r="A10" s="291" t="s">
        <v>330</v>
      </c>
      <c r="B10" s="292">
        <f>C61</f>
        <v>4</v>
      </c>
      <c r="C10" s="993">
        <v>1</v>
      </c>
      <c r="D10" s="204">
        <f>B10*C10</f>
        <v>4</v>
      </c>
    </row>
    <row r="11" spans="1:4" ht="16.5" thickBot="1">
      <c r="A11" s="293" t="s">
        <v>331</v>
      </c>
      <c r="B11" s="294">
        <f>C69</f>
        <v>6</v>
      </c>
      <c r="C11" s="994">
        <v>1.3</v>
      </c>
      <c r="D11" s="990">
        <f t="shared" si="0"/>
        <v>7.800000000000001</v>
      </c>
    </row>
    <row r="12" spans="1:8" ht="16.5" thickBot="1">
      <c r="A12" s="295" t="s">
        <v>332</v>
      </c>
      <c r="B12" s="296">
        <f>B4+B11</f>
        <v>29</v>
      </c>
      <c r="C12" s="988"/>
      <c r="D12" s="991">
        <f>D4+D11</f>
        <v>30.8</v>
      </c>
      <c r="E12" s="323" t="s">
        <v>333</v>
      </c>
      <c r="F12" s="323"/>
      <c r="G12" s="98"/>
      <c r="H12" s="96">
        <f>D4/D11</f>
        <v>2.9487179487179485</v>
      </c>
    </row>
    <row r="13" ht="16.5" thickBot="1">
      <c r="B13" s="289"/>
    </row>
    <row r="14" spans="1:4" ht="32.25" thickBot="1">
      <c r="A14" s="1010" t="s">
        <v>334</v>
      </c>
      <c r="B14" s="1011" t="s">
        <v>335</v>
      </c>
      <c r="C14" s="1012" t="s">
        <v>369</v>
      </c>
      <c r="D14" s="1013" t="s">
        <v>368</v>
      </c>
    </row>
    <row r="15" spans="1:4" ht="12.75">
      <c r="A15" s="258" t="s">
        <v>336</v>
      </c>
      <c r="B15" s="297">
        <f>$H$7^1</f>
        <v>1.6159099106495596</v>
      </c>
      <c r="C15" s="298">
        <f>B15-1</f>
        <v>0.6159099106495596</v>
      </c>
      <c r="D15" s="299">
        <f>$H$5*C15</f>
        <v>0.0008798713009279421</v>
      </c>
    </row>
    <row r="16" spans="1:4" ht="12.75">
      <c r="A16" s="300" t="s">
        <v>337</v>
      </c>
      <c r="B16" s="301">
        <f>$H$7^2</f>
        <v>2.611164839335468</v>
      </c>
      <c r="C16" s="302">
        <f>B16-1</f>
        <v>1.6111648393354678</v>
      </c>
      <c r="D16" s="303">
        <f>$H$5*C16</f>
        <v>0.0023016640561935252</v>
      </c>
    </row>
    <row r="17" spans="1:4" ht="12.75">
      <c r="A17" s="300" t="s">
        <v>338</v>
      </c>
      <c r="B17" s="301">
        <f>$H$7^3</f>
        <v>4.219407142221847</v>
      </c>
      <c r="C17" s="302">
        <f>B17-1</f>
        <v>3.219407142221847</v>
      </c>
      <c r="D17" s="303">
        <f>$H$5*C17</f>
        <v>0.004599153060316924</v>
      </c>
    </row>
    <row r="18" spans="1:4" ht="13.5" thickBot="1">
      <c r="A18" s="304" t="s">
        <v>339</v>
      </c>
      <c r="B18" s="305">
        <f>$H$7^4</f>
        <v>6.818181818181819</v>
      </c>
      <c r="C18" s="306">
        <f>B18-1</f>
        <v>5.818181818181819</v>
      </c>
      <c r="D18" s="307">
        <f>$H$5*C18</f>
        <v>0.008311688311688312</v>
      </c>
    </row>
    <row r="20" ht="16.5" thickBot="1">
      <c r="A20" s="1026" t="s">
        <v>340</v>
      </c>
    </row>
    <row r="21" spans="1:6" ht="45" thickBot="1">
      <c r="A21" s="1014" t="s">
        <v>341</v>
      </c>
      <c r="B21" s="1015" t="s">
        <v>370</v>
      </c>
      <c r="C21" s="1016" t="s">
        <v>342</v>
      </c>
      <c r="D21" s="1017" t="s">
        <v>322</v>
      </c>
      <c r="E21" s="1017" t="s">
        <v>343</v>
      </c>
      <c r="F21" s="1018" t="s">
        <v>344</v>
      </c>
    </row>
    <row r="22" spans="1:6" ht="15.75">
      <c r="A22" s="140" t="s">
        <v>345</v>
      </c>
      <c r="B22" s="308">
        <f>$D$15</f>
        <v>0.0008798713009279421</v>
      </c>
      <c r="C22" s="997">
        <v>1</v>
      </c>
      <c r="D22" s="309">
        <f>$C$5</f>
        <v>1</v>
      </c>
      <c r="E22" s="309">
        <f>C22*D22</f>
        <v>1</v>
      </c>
      <c r="F22" s="310">
        <f>B22*E22</f>
        <v>0.0008798713009279421</v>
      </c>
    </row>
    <row r="23" spans="1:6" ht="15.75">
      <c r="A23" s="100" t="s">
        <v>346</v>
      </c>
      <c r="B23" s="311">
        <f>$D$16</f>
        <v>0.0023016640561935252</v>
      </c>
      <c r="C23" s="998">
        <v>3</v>
      </c>
      <c r="D23" s="282">
        <f>$C$5</f>
        <v>1</v>
      </c>
      <c r="E23" s="282">
        <f>C23*D23</f>
        <v>3</v>
      </c>
      <c r="F23" s="312">
        <f>B23*E23</f>
        <v>0.006904992168580575</v>
      </c>
    </row>
    <row r="24" spans="1:6" ht="15.75">
      <c r="A24" s="100" t="s">
        <v>347</v>
      </c>
      <c r="B24" s="311">
        <f>$D$17</f>
        <v>0.004599153060316924</v>
      </c>
      <c r="C24" s="998"/>
      <c r="D24" s="282">
        <f>$C$5</f>
        <v>1</v>
      </c>
      <c r="E24" s="282">
        <f>C24*D24</f>
        <v>0</v>
      </c>
      <c r="F24" s="312">
        <f>B24*E24</f>
        <v>0</v>
      </c>
    </row>
    <row r="25" spans="1:6" ht="16.5" thickBot="1">
      <c r="A25" s="168" t="s">
        <v>348</v>
      </c>
      <c r="B25" s="313">
        <f>$D$18</f>
        <v>0.008311688311688312</v>
      </c>
      <c r="C25" s="999"/>
      <c r="D25" s="314">
        <f>$C$5</f>
        <v>1</v>
      </c>
      <c r="E25" s="314">
        <f>C25*D25</f>
        <v>0</v>
      </c>
      <c r="F25" s="315">
        <f>B25*E25</f>
        <v>0</v>
      </c>
    </row>
    <row r="26" spans="1:6" ht="16.5" thickBot="1">
      <c r="A26" s="316" t="s">
        <v>349</v>
      </c>
      <c r="B26" s="317"/>
      <c r="C26" s="317">
        <f>SUM(C22:C25)</f>
        <v>4</v>
      </c>
      <c r="D26" s="317"/>
      <c r="E26" s="317">
        <f>SUM(E22:E25)</f>
        <v>4</v>
      </c>
      <c r="F26" s="318">
        <f>SUM(F22:F25)</f>
        <v>0.0077848634695085175</v>
      </c>
    </row>
    <row r="27" spans="2:6" ht="13.5" thickBot="1">
      <c r="B27" s="10"/>
      <c r="C27" s="10"/>
      <c r="D27" s="10"/>
      <c r="E27" s="10"/>
      <c r="F27" s="10"/>
    </row>
    <row r="28" spans="1:6" ht="45" thickBot="1">
      <c r="A28" s="1014" t="s">
        <v>350</v>
      </c>
      <c r="B28" s="1015" t="str">
        <f>$B$21</f>
        <v>RP                       (=z . rf/n)</v>
      </c>
      <c r="C28" s="1016" t="s">
        <v>342</v>
      </c>
      <c r="D28" s="1017" t="s">
        <v>322</v>
      </c>
      <c r="E28" s="1017" t="s">
        <v>343</v>
      </c>
      <c r="F28" s="1018" t="s">
        <v>344</v>
      </c>
    </row>
    <row r="29" spans="1:6" ht="15.75">
      <c r="A29" s="140" t="s">
        <v>345</v>
      </c>
      <c r="B29" s="308">
        <f>$H$5*C$15</f>
        <v>0.0008798713009279421</v>
      </c>
      <c r="C29" s="1000"/>
      <c r="D29" s="309">
        <f>$C$6</f>
        <v>1</v>
      </c>
      <c r="E29" s="309">
        <f>C29*D29</f>
        <v>0</v>
      </c>
      <c r="F29" s="310">
        <f>B29*E29</f>
        <v>0</v>
      </c>
    </row>
    <row r="30" spans="1:6" ht="15.75">
      <c r="A30" s="100" t="s">
        <v>346</v>
      </c>
      <c r="B30" s="311">
        <f>$H$5*C$16</f>
        <v>0.0023016640561935252</v>
      </c>
      <c r="C30" s="1001">
        <v>2</v>
      </c>
      <c r="D30" s="282">
        <f>$C$6</f>
        <v>1</v>
      </c>
      <c r="E30" s="282">
        <f>C30*D30</f>
        <v>2</v>
      </c>
      <c r="F30" s="312">
        <f>B30*E30</f>
        <v>0.0046033281123870505</v>
      </c>
    </row>
    <row r="31" spans="1:6" ht="15.75">
      <c r="A31" s="100" t="s">
        <v>347</v>
      </c>
      <c r="B31" s="311">
        <f>$H$5*C$17</f>
        <v>0.004599153060316924</v>
      </c>
      <c r="C31" s="1001">
        <v>1</v>
      </c>
      <c r="D31" s="282">
        <f>$C$6</f>
        <v>1</v>
      </c>
      <c r="E31" s="282">
        <f>C31*D31</f>
        <v>1</v>
      </c>
      <c r="F31" s="312">
        <f>B31*E31</f>
        <v>0.004599153060316924</v>
      </c>
    </row>
    <row r="32" spans="1:6" ht="16.5" thickBot="1">
      <c r="A32" s="168" t="s">
        <v>348</v>
      </c>
      <c r="B32" s="313">
        <f>$H$5*C$18</f>
        <v>0.008311688311688312</v>
      </c>
      <c r="C32" s="1002"/>
      <c r="D32" s="314">
        <f>$C$6</f>
        <v>1</v>
      </c>
      <c r="E32" s="314">
        <f>C32*D32</f>
        <v>0</v>
      </c>
      <c r="F32" s="315">
        <f>B32*E32</f>
        <v>0</v>
      </c>
    </row>
    <row r="33" spans="1:6" ht="16.5" thickBot="1">
      <c r="A33" s="316" t="s">
        <v>349</v>
      </c>
      <c r="B33" s="317"/>
      <c r="C33" s="317">
        <f>SUM(C29:C32)</f>
        <v>3</v>
      </c>
      <c r="D33" s="317"/>
      <c r="E33" s="317">
        <f>SUM(E29:E32)</f>
        <v>3</v>
      </c>
      <c r="F33" s="318">
        <f>SUM(F29:F32)</f>
        <v>0.009202481172703975</v>
      </c>
    </row>
    <row r="34" spans="1:6" s="31" customFormat="1" ht="16.5" thickBot="1">
      <c r="A34" s="319"/>
      <c r="B34" s="320"/>
      <c r="C34" s="320"/>
      <c r="D34" s="320"/>
      <c r="E34" s="320"/>
      <c r="F34" s="320"/>
    </row>
    <row r="35" spans="1:6" ht="45" thickBot="1">
      <c r="A35" s="1014" t="s">
        <v>327</v>
      </c>
      <c r="B35" s="1015" t="str">
        <f>$B$21</f>
        <v>RP                       (=z . rf/n)</v>
      </c>
      <c r="C35" s="1016" t="s">
        <v>342</v>
      </c>
      <c r="D35" s="1017" t="s">
        <v>322</v>
      </c>
      <c r="E35" s="1017" t="s">
        <v>343</v>
      </c>
      <c r="F35" s="1018" t="s">
        <v>344</v>
      </c>
    </row>
    <row r="36" spans="1:6" ht="15.75">
      <c r="A36" s="140" t="s">
        <v>345</v>
      </c>
      <c r="B36" s="308">
        <f>$H$5*C$15</f>
        <v>0.0008798713009279421</v>
      </c>
      <c r="C36" s="1000"/>
      <c r="D36" s="309">
        <f>$C$7</f>
        <v>1</v>
      </c>
      <c r="E36" s="309">
        <f>C36*D36</f>
        <v>0</v>
      </c>
      <c r="F36" s="310">
        <f>B36*E36</f>
        <v>0</v>
      </c>
    </row>
    <row r="37" spans="1:6" ht="15.75">
      <c r="A37" s="100" t="s">
        <v>346</v>
      </c>
      <c r="B37" s="311">
        <f>$H$5*C$16</f>
        <v>0.0023016640561935252</v>
      </c>
      <c r="C37" s="1001">
        <v>5</v>
      </c>
      <c r="D37" s="282">
        <f>$C$7</f>
        <v>1</v>
      </c>
      <c r="E37" s="282">
        <f>C37*D37</f>
        <v>5</v>
      </c>
      <c r="F37" s="312">
        <f>B37*E37</f>
        <v>0.011508320280967627</v>
      </c>
    </row>
    <row r="38" spans="1:6" ht="15.75">
      <c r="A38" s="100" t="s">
        <v>347</v>
      </c>
      <c r="B38" s="311">
        <f>$H$5*C$17</f>
        <v>0.004599153060316924</v>
      </c>
      <c r="C38" s="1001">
        <v>1</v>
      </c>
      <c r="D38" s="282">
        <f>$C$7</f>
        <v>1</v>
      </c>
      <c r="E38" s="282">
        <f>C38*D38</f>
        <v>1</v>
      </c>
      <c r="F38" s="312">
        <f>B38*E38</f>
        <v>0.004599153060316924</v>
      </c>
    </row>
    <row r="39" spans="1:6" ht="16.5" thickBot="1">
      <c r="A39" s="168" t="s">
        <v>348</v>
      </c>
      <c r="B39" s="313">
        <f>$H$5*C$18</f>
        <v>0.008311688311688312</v>
      </c>
      <c r="C39" s="1002"/>
      <c r="D39" s="314">
        <f>$C$7</f>
        <v>1</v>
      </c>
      <c r="E39" s="314">
        <f>C39*D39</f>
        <v>0</v>
      </c>
      <c r="F39" s="315">
        <f>B39*E39</f>
        <v>0</v>
      </c>
    </row>
    <row r="40" spans="1:6" ht="16.5" thickBot="1">
      <c r="A40" s="316" t="s">
        <v>349</v>
      </c>
      <c r="B40" s="317"/>
      <c r="C40" s="317">
        <f>SUM(C36:C39)</f>
        <v>6</v>
      </c>
      <c r="D40" s="317"/>
      <c r="E40" s="317">
        <f>SUM(E36:E39)</f>
        <v>6</v>
      </c>
      <c r="F40" s="318">
        <f>SUM(F36:F39)</f>
        <v>0.01610747334128455</v>
      </c>
    </row>
    <row r="41" spans="2:6" ht="13.5" thickBot="1">
      <c r="B41" s="10"/>
      <c r="C41" s="10"/>
      <c r="D41" s="10"/>
      <c r="E41" s="10"/>
      <c r="F41" s="10"/>
    </row>
    <row r="42" spans="1:6" ht="45" thickBot="1">
      <c r="A42" s="1014" t="s">
        <v>328</v>
      </c>
      <c r="B42" s="1015" t="str">
        <f>$B$21</f>
        <v>RP                       (=z . rf/n)</v>
      </c>
      <c r="C42" s="1016" t="s">
        <v>342</v>
      </c>
      <c r="D42" s="1017" t="s">
        <v>322</v>
      </c>
      <c r="E42" s="1017" t="s">
        <v>343</v>
      </c>
      <c r="F42" s="1018" t="s">
        <v>344</v>
      </c>
    </row>
    <row r="43" spans="1:6" ht="15.75">
      <c r="A43" s="140" t="s">
        <v>345</v>
      </c>
      <c r="B43" s="308">
        <f>$H$5*C$15</f>
        <v>0.0008798713009279421</v>
      </c>
      <c r="C43" s="1000">
        <v>2</v>
      </c>
      <c r="D43" s="309">
        <f>$C$8</f>
        <v>1</v>
      </c>
      <c r="E43" s="309">
        <f>C43*D43</f>
        <v>2</v>
      </c>
      <c r="F43" s="310">
        <f>B43*E43</f>
        <v>0.0017597426018558843</v>
      </c>
    </row>
    <row r="44" spans="1:6" ht="15.75">
      <c r="A44" s="100" t="s">
        <v>346</v>
      </c>
      <c r="B44" s="311">
        <f>$H$5*C$16</f>
        <v>0.0023016640561935252</v>
      </c>
      <c r="C44" s="1001"/>
      <c r="D44" s="282">
        <f>$C$8</f>
        <v>1</v>
      </c>
      <c r="E44" s="282">
        <f>C44*D44</f>
        <v>0</v>
      </c>
      <c r="F44" s="312">
        <f>B44*E44</f>
        <v>0</v>
      </c>
    </row>
    <row r="45" spans="1:6" ht="15.75">
      <c r="A45" s="100" t="s">
        <v>347</v>
      </c>
      <c r="B45" s="311">
        <f>$H$5*C$17</f>
        <v>0.004599153060316924</v>
      </c>
      <c r="C45" s="1001">
        <v>1</v>
      </c>
      <c r="D45" s="282">
        <f>$C$8</f>
        <v>1</v>
      </c>
      <c r="E45" s="282">
        <f>C45*D45</f>
        <v>1</v>
      </c>
      <c r="F45" s="312">
        <f>B45*E45</f>
        <v>0.004599153060316924</v>
      </c>
    </row>
    <row r="46" spans="1:6" ht="16.5" thickBot="1">
      <c r="A46" s="168" t="s">
        <v>348</v>
      </c>
      <c r="B46" s="313">
        <f>$H$5*C$18</f>
        <v>0.008311688311688312</v>
      </c>
      <c r="C46" s="1002"/>
      <c r="D46" s="314">
        <f>$C$8</f>
        <v>1</v>
      </c>
      <c r="E46" s="314">
        <f>C46*D46</f>
        <v>0</v>
      </c>
      <c r="F46" s="315">
        <f>B46*E46</f>
        <v>0</v>
      </c>
    </row>
    <row r="47" spans="1:6" ht="16.5" thickBot="1">
      <c r="A47" s="316" t="s">
        <v>349</v>
      </c>
      <c r="B47" s="317"/>
      <c r="C47" s="317">
        <f>SUM(C43:C46)</f>
        <v>3</v>
      </c>
      <c r="D47" s="317"/>
      <c r="E47" s="317">
        <f>SUM(E43:E46)</f>
        <v>3</v>
      </c>
      <c r="F47" s="318">
        <f>SUM(F43:F46)</f>
        <v>0.006358895662172809</v>
      </c>
    </row>
    <row r="48" spans="2:6" ht="13.5" thickBot="1">
      <c r="B48" s="10"/>
      <c r="C48" s="10"/>
      <c r="D48" s="10"/>
      <c r="E48" s="10"/>
      <c r="F48" s="10"/>
    </row>
    <row r="49" spans="1:6" ht="45" thickBot="1">
      <c r="A49" s="1014" t="s">
        <v>329</v>
      </c>
      <c r="B49" s="1015" t="str">
        <f>$B$21</f>
        <v>RP                       (=z . rf/n)</v>
      </c>
      <c r="C49" s="1016" t="s">
        <v>342</v>
      </c>
      <c r="D49" s="1017" t="s">
        <v>322</v>
      </c>
      <c r="E49" s="1017" t="s">
        <v>343</v>
      </c>
      <c r="F49" s="1018" t="s">
        <v>344</v>
      </c>
    </row>
    <row r="50" spans="1:6" ht="15.75">
      <c r="A50" s="140" t="s">
        <v>345</v>
      </c>
      <c r="B50" s="308">
        <f>$H$5*C$15</f>
        <v>0.0008798713009279421</v>
      </c>
      <c r="C50" s="1000">
        <v>1</v>
      </c>
      <c r="D50" s="309">
        <f>$C$9</f>
        <v>1</v>
      </c>
      <c r="E50" s="309">
        <f>C50*D50</f>
        <v>1</v>
      </c>
      <c r="F50" s="310">
        <f>B50*E50</f>
        <v>0.0008798713009279421</v>
      </c>
    </row>
    <row r="51" spans="1:6" ht="15.75">
      <c r="A51" s="100" t="s">
        <v>346</v>
      </c>
      <c r="B51" s="311">
        <f>$H$5*C$16</f>
        <v>0.0023016640561935252</v>
      </c>
      <c r="C51" s="1001">
        <v>2</v>
      </c>
      <c r="D51" s="282">
        <f>$C$9</f>
        <v>1</v>
      </c>
      <c r="E51" s="282">
        <f>C51*D51</f>
        <v>2</v>
      </c>
      <c r="F51" s="312">
        <f>B51*E51</f>
        <v>0.0046033281123870505</v>
      </c>
    </row>
    <row r="52" spans="1:6" ht="15.75">
      <c r="A52" s="100" t="s">
        <v>347</v>
      </c>
      <c r="B52" s="311">
        <f>$H$5*C$17</f>
        <v>0.004599153060316924</v>
      </c>
      <c r="C52" s="1001"/>
      <c r="D52" s="282">
        <f>$C$9</f>
        <v>1</v>
      </c>
      <c r="E52" s="282">
        <f>C52*D52</f>
        <v>0</v>
      </c>
      <c r="F52" s="312">
        <f>B52*E52</f>
        <v>0</v>
      </c>
    </row>
    <row r="53" spans="1:6" ht="16.5" thickBot="1">
      <c r="A53" s="168" t="s">
        <v>348</v>
      </c>
      <c r="B53" s="313">
        <f>$H$5*C$18</f>
        <v>0.008311688311688312</v>
      </c>
      <c r="C53" s="1002"/>
      <c r="D53" s="314">
        <f>$C$9</f>
        <v>1</v>
      </c>
      <c r="E53" s="314">
        <f>C53*D53</f>
        <v>0</v>
      </c>
      <c r="F53" s="315">
        <f>B53*E53</f>
        <v>0</v>
      </c>
    </row>
    <row r="54" spans="1:6" ht="16.5" thickBot="1">
      <c r="A54" s="316" t="s">
        <v>349</v>
      </c>
      <c r="B54" s="317"/>
      <c r="C54" s="317">
        <f>SUM(C50:C53)</f>
        <v>3</v>
      </c>
      <c r="D54" s="317"/>
      <c r="E54" s="317">
        <f>SUM(E50:E53)</f>
        <v>3</v>
      </c>
      <c r="F54" s="318">
        <f>SUM(F50:F53)</f>
        <v>0.005483199413314993</v>
      </c>
    </row>
    <row r="55" spans="2:6" ht="13.5" thickBot="1">
      <c r="B55" s="10"/>
      <c r="C55" s="10"/>
      <c r="D55" s="10"/>
      <c r="E55" s="10"/>
      <c r="F55" s="10"/>
    </row>
    <row r="56" spans="1:6" ht="45" thickBot="1">
      <c r="A56" s="1014" t="s">
        <v>505</v>
      </c>
      <c r="B56" s="1015" t="str">
        <f>$B$21</f>
        <v>RP                       (=z . rf/n)</v>
      </c>
      <c r="C56" s="1016" t="s">
        <v>342</v>
      </c>
      <c r="D56" s="1017" t="s">
        <v>322</v>
      </c>
      <c r="E56" s="1017" t="s">
        <v>343</v>
      </c>
      <c r="F56" s="1018" t="s">
        <v>344</v>
      </c>
    </row>
    <row r="57" spans="1:6" ht="15.75">
      <c r="A57" s="140" t="s">
        <v>345</v>
      </c>
      <c r="B57" s="308">
        <f>$H$5*C$15</f>
        <v>0.0008798713009279421</v>
      </c>
      <c r="C57" s="1000"/>
      <c r="D57" s="309">
        <f>$C$10</f>
        <v>1</v>
      </c>
      <c r="E57" s="309">
        <f>C57*D57</f>
        <v>0</v>
      </c>
      <c r="F57" s="310">
        <f>B57*E57</f>
        <v>0</v>
      </c>
    </row>
    <row r="58" spans="1:6" ht="15.75">
      <c r="A58" s="100" t="s">
        <v>346</v>
      </c>
      <c r="B58" s="311">
        <f>$H$5*C$16</f>
        <v>0.0023016640561935252</v>
      </c>
      <c r="C58" s="1001">
        <v>2</v>
      </c>
      <c r="D58" s="282">
        <f>$C$10</f>
        <v>1</v>
      </c>
      <c r="E58" s="282">
        <f>C58*D58</f>
        <v>2</v>
      </c>
      <c r="F58" s="312">
        <f>B58*E58</f>
        <v>0.0046033281123870505</v>
      </c>
    </row>
    <row r="59" spans="1:6" ht="15.75">
      <c r="A59" s="100" t="s">
        <v>347</v>
      </c>
      <c r="B59" s="311">
        <f>$H$5*C$17</f>
        <v>0.004599153060316924</v>
      </c>
      <c r="C59" s="1001">
        <v>2</v>
      </c>
      <c r="D59" s="282">
        <f>$C$10</f>
        <v>1</v>
      </c>
      <c r="E59" s="282">
        <f>C59*D59</f>
        <v>2</v>
      </c>
      <c r="F59" s="312">
        <f>B59*E59</f>
        <v>0.009198306120633848</v>
      </c>
    </row>
    <row r="60" spans="1:6" ht="16.5" thickBot="1">
      <c r="A60" s="168" t="s">
        <v>348</v>
      </c>
      <c r="B60" s="313">
        <f>$H$5*C$18</f>
        <v>0.008311688311688312</v>
      </c>
      <c r="C60" s="1002"/>
      <c r="D60" s="314">
        <f>$C$10</f>
        <v>1</v>
      </c>
      <c r="E60" s="314">
        <f>C60*D60</f>
        <v>0</v>
      </c>
      <c r="F60" s="315">
        <f>B60*E60</f>
        <v>0</v>
      </c>
    </row>
    <row r="61" spans="1:6" ht="16.5" thickBot="1">
      <c r="A61" s="316" t="s">
        <v>349</v>
      </c>
      <c r="B61" s="317"/>
      <c r="C61" s="317">
        <f>SUM(C57:C60)</f>
        <v>4</v>
      </c>
      <c r="D61" s="317"/>
      <c r="E61" s="317">
        <f>SUM(E57:E60)</f>
        <v>4</v>
      </c>
      <c r="F61" s="318">
        <f>SUM(F57:F60)</f>
        <v>0.013801634233020898</v>
      </c>
    </row>
    <row r="62" spans="1:6" ht="15.75">
      <c r="A62" s="319"/>
      <c r="B62" s="321"/>
      <c r="C62" s="321"/>
      <c r="D62" s="321"/>
      <c r="E62" s="321"/>
      <c r="F62" s="322"/>
    </row>
    <row r="63" ht="16.5" thickBot="1">
      <c r="A63" s="1026" t="s">
        <v>351</v>
      </c>
    </row>
    <row r="64" spans="1:6" ht="45" thickBot="1">
      <c r="A64" s="1014" t="s">
        <v>352</v>
      </c>
      <c r="B64" s="1015" t="str">
        <f>$B$21</f>
        <v>RP                       (=z . rf/n)</v>
      </c>
      <c r="C64" s="1016" t="s">
        <v>342</v>
      </c>
      <c r="D64" s="1017" t="s">
        <v>322</v>
      </c>
      <c r="E64" s="1017" t="s">
        <v>343</v>
      </c>
      <c r="F64" s="1018" t="s">
        <v>344</v>
      </c>
    </row>
    <row r="65" spans="1:6" ht="15.75">
      <c r="A65" s="140" t="s">
        <v>345</v>
      </c>
      <c r="B65" s="308">
        <f>$H$5*C$15</f>
        <v>0.0008798713009279421</v>
      </c>
      <c r="C65" s="1000"/>
      <c r="D65" s="309">
        <f>$C$11</f>
        <v>1.3</v>
      </c>
      <c r="E65" s="309">
        <f>C65*D65</f>
        <v>0</v>
      </c>
      <c r="F65" s="310">
        <f>B65*E65</f>
        <v>0</v>
      </c>
    </row>
    <row r="66" spans="1:6" ht="15.75">
      <c r="A66" s="100" t="s">
        <v>346</v>
      </c>
      <c r="B66" s="311">
        <f>$H$5*C$16</f>
        <v>0.0023016640561935252</v>
      </c>
      <c r="C66" s="1001">
        <v>4</v>
      </c>
      <c r="D66" s="282">
        <f>$C$11</f>
        <v>1.3</v>
      </c>
      <c r="E66" s="282">
        <f>C66*D66</f>
        <v>5.2</v>
      </c>
      <c r="F66" s="312">
        <f>B66*E66</f>
        <v>0.011968653092206332</v>
      </c>
    </row>
    <row r="67" spans="1:6" ht="15.75">
      <c r="A67" s="100" t="s">
        <v>347</v>
      </c>
      <c r="B67" s="311">
        <f>$H$5*C$17</f>
        <v>0.004599153060316924</v>
      </c>
      <c r="C67" s="1001">
        <v>2</v>
      </c>
      <c r="D67" s="282">
        <f>$C$11</f>
        <v>1.3</v>
      </c>
      <c r="E67" s="282">
        <f>C67*D67</f>
        <v>2.6</v>
      </c>
      <c r="F67" s="312">
        <f>B67*E67</f>
        <v>0.011957797956824003</v>
      </c>
    </row>
    <row r="68" spans="1:6" ht="16.5" thickBot="1">
      <c r="A68" s="168" t="s">
        <v>348</v>
      </c>
      <c r="B68" s="313">
        <f>$H$5*C$18</f>
        <v>0.008311688311688312</v>
      </c>
      <c r="C68" s="1002"/>
      <c r="D68" s="314">
        <f>$C$11</f>
        <v>1.3</v>
      </c>
      <c r="E68" s="314">
        <f>C68*D68</f>
        <v>0</v>
      </c>
      <c r="F68" s="315">
        <f>B68*E68</f>
        <v>0</v>
      </c>
    </row>
    <row r="69" spans="1:6" ht="16.5" thickBot="1">
      <c r="A69" s="316" t="s">
        <v>349</v>
      </c>
      <c r="B69" s="317"/>
      <c r="C69" s="317">
        <f>SUM(C65:C68)</f>
        <v>6</v>
      </c>
      <c r="D69" s="317"/>
      <c r="E69" s="317">
        <f>SUM(E65:E68)</f>
        <v>7.800000000000001</v>
      </c>
      <c r="F69" s="318">
        <f>SUM(F65:F68)</f>
        <v>0.023926451049030337</v>
      </c>
    </row>
    <row r="71" ht="15.75">
      <c r="A71" s="1026" t="s">
        <v>353</v>
      </c>
    </row>
    <row r="73" spans="1:4" ht="12.75">
      <c r="A73" s="1019" t="s">
        <v>354</v>
      </c>
      <c r="B73" s="1020"/>
      <c r="C73" s="1020"/>
      <c r="D73" s="1021">
        <f>H4</f>
        <v>0.044</v>
      </c>
    </row>
    <row r="74" spans="1:4" ht="15.75">
      <c r="A74" s="324" t="s">
        <v>325</v>
      </c>
      <c r="B74" s="325">
        <f>F26</f>
        <v>0.0077848634695085175</v>
      </c>
      <c r="C74" s="325"/>
      <c r="D74" s="326"/>
    </row>
    <row r="75" spans="1:4" ht="15.75">
      <c r="A75" s="327" t="s">
        <v>326</v>
      </c>
      <c r="B75" s="328">
        <f>F33</f>
        <v>0.009202481172703975</v>
      </c>
      <c r="C75" s="328"/>
      <c r="D75" s="329"/>
    </row>
    <row r="76" spans="1:4" ht="15.75">
      <c r="A76" s="327" t="s">
        <v>327</v>
      </c>
      <c r="B76" s="328">
        <f>F40</f>
        <v>0.01610747334128455</v>
      </c>
      <c r="C76" s="328"/>
      <c r="D76" s="329"/>
    </row>
    <row r="77" spans="1:4" ht="15.75">
      <c r="A77" s="327" t="s">
        <v>328</v>
      </c>
      <c r="B77" s="328">
        <f>F47</f>
        <v>0.006358895662172809</v>
      </c>
      <c r="C77" s="328"/>
      <c r="D77" s="329"/>
    </row>
    <row r="78" spans="1:4" ht="15.75">
      <c r="A78" s="327" t="s">
        <v>329</v>
      </c>
      <c r="B78" s="328">
        <f>F54</f>
        <v>0.005483199413314993</v>
      </c>
      <c r="C78" s="328"/>
      <c r="D78" s="329"/>
    </row>
    <row r="79" spans="1:4" ht="15.75">
      <c r="A79" s="327" t="s">
        <v>330</v>
      </c>
      <c r="B79" s="328">
        <f>F61</f>
        <v>0.013801634233020898</v>
      </c>
      <c r="C79" s="328"/>
      <c r="D79" s="329"/>
    </row>
    <row r="80" spans="1:4" ht="15.75">
      <c r="A80" s="327" t="s">
        <v>355</v>
      </c>
      <c r="B80" s="328"/>
      <c r="C80" s="328">
        <f>SUM(B74:B79)</f>
        <v>0.05873854729200574</v>
      </c>
      <c r="D80" s="329"/>
    </row>
    <row r="81" spans="1:4" ht="15.75">
      <c r="A81" s="327" t="s">
        <v>356</v>
      </c>
      <c r="B81" s="328"/>
      <c r="C81" s="328">
        <f>F69</f>
        <v>0.023926451049030337</v>
      </c>
      <c r="D81" s="329"/>
    </row>
    <row r="82" spans="1:4" ht="12.75">
      <c r="A82" s="1022" t="s">
        <v>357</v>
      </c>
      <c r="B82" s="1023"/>
      <c r="C82" s="1023"/>
      <c r="D82" s="1024">
        <f>C80+C81</f>
        <v>0.08266499834103608</v>
      </c>
    </row>
    <row r="83" spans="1:4" ht="12.75">
      <c r="A83" s="1019" t="s">
        <v>358</v>
      </c>
      <c r="B83" s="1020"/>
      <c r="C83" s="1020"/>
      <c r="D83" s="1025">
        <f>'19 nVK - CAPM'!B14</f>
        <v>0.015</v>
      </c>
    </row>
    <row r="84" spans="1:4" ht="15.75">
      <c r="A84" s="1003" t="s">
        <v>359</v>
      </c>
      <c r="B84" s="1004"/>
      <c r="C84" s="1004"/>
      <c r="D84" s="1005">
        <f>SUM(D73:D83)</f>
        <v>0.14166499834103607</v>
      </c>
    </row>
  </sheetData>
  <sheetProtection/>
  <mergeCells count="1">
    <mergeCell ref="G1:H1"/>
  </mergeCells>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2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
    </sheetView>
  </sheetViews>
  <sheetFormatPr defaultColWidth="9.00390625" defaultRowHeight="12.75"/>
  <cols>
    <col min="1" max="1" width="34.00390625" style="0" customWidth="1"/>
    <col min="2" max="2" width="11.375" style="0" bestFit="1" customWidth="1"/>
    <col min="7" max="7" width="10.125" style="0" bestFit="1" customWidth="1"/>
  </cols>
  <sheetData>
    <row r="1" spans="1:7" ht="15.75">
      <c r="A1" s="965" t="s">
        <v>600</v>
      </c>
      <c r="G1" s="1167" t="s">
        <v>672</v>
      </c>
    </row>
    <row r="2" ht="9" customHeight="1"/>
    <row r="3" ht="15.75">
      <c r="A3" s="561" t="s">
        <v>474</v>
      </c>
    </row>
    <row r="4" ht="12.75">
      <c r="A4" s="559" t="s">
        <v>477</v>
      </c>
    </row>
    <row r="5" ht="8.25" customHeight="1">
      <c r="B5" s="560"/>
    </row>
    <row r="6" spans="1:3" ht="12.75">
      <c r="A6" s="931" t="s">
        <v>461</v>
      </c>
      <c r="B6" s="1027">
        <f>'18 Plán'!B124+'18 Plán'!B132</f>
        <v>331572.26390108775</v>
      </c>
      <c r="C6" s="326" t="s">
        <v>286</v>
      </c>
    </row>
    <row r="7" spans="1:3" ht="12.75">
      <c r="A7" s="252" t="s">
        <v>462</v>
      </c>
      <c r="B7" s="85">
        <f>'18 Plán'!B134</f>
        <v>12770</v>
      </c>
      <c r="C7" s="329" t="s">
        <v>286</v>
      </c>
    </row>
    <row r="8" spans="1:3" ht="12.75">
      <c r="A8" s="252" t="s">
        <v>61</v>
      </c>
      <c r="B8" s="85">
        <f>'18 Plán'!B141</f>
        <v>120882</v>
      </c>
      <c r="C8" s="329" t="s">
        <v>286</v>
      </c>
    </row>
    <row r="9" spans="1:3" ht="12.75">
      <c r="A9" s="252" t="s">
        <v>463</v>
      </c>
      <c r="B9" s="85">
        <f>'18 Plán'!B142</f>
        <v>36494</v>
      </c>
      <c r="C9" s="329" t="s">
        <v>286</v>
      </c>
    </row>
    <row r="10" spans="1:3" ht="12.75">
      <c r="A10" s="193" t="s">
        <v>464</v>
      </c>
      <c r="B10" s="113">
        <f>SUM(B6:B9)</f>
        <v>501718.26390108775</v>
      </c>
      <c r="C10" s="98" t="s">
        <v>286</v>
      </c>
    </row>
    <row r="12" ht="12.75">
      <c r="A12" s="559" t="s">
        <v>506</v>
      </c>
    </row>
    <row r="13" ht="6" customHeight="1"/>
    <row r="14" ht="12.75">
      <c r="A14" s="1" t="s">
        <v>38</v>
      </c>
    </row>
    <row r="15" spans="1:3" ht="12.75">
      <c r="A15" s="931" t="s">
        <v>478</v>
      </c>
      <c r="B15" s="1027">
        <f>'18 Plán'!B125</f>
        <v>150000</v>
      </c>
      <c r="C15" s="326" t="s">
        <v>471</v>
      </c>
    </row>
    <row r="16" spans="1:4" ht="12.75">
      <c r="A16" s="252" t="s">
        <v>467</v>
      </c>
      <c r="B16" s="85">
        <v>1000</v>
      </c>
      <c r="C16" s="329" t="s">
        <v>468</v>
      </c>
      <c r="D16" s="5"/>
    </row>
    <row r="17" spans="1:4" ht="12.75">
      <c r="A17" s="163" t="s">
        <v>507</v>
      </c>
      <c r="B17" s="1431">
        <v>3563</v>
      </c>
      <c r="C17" s="863" t="s">
        <v>468</v>
      </c>
      <c r="D17" s="5"/>
    </row>
    <row r="18" ht="9" customHeight="1">
      <c r="D18" s="5"/>
    </row>
    <row r="19" spans="1:4" ht="12.75">
      <c r="A19" s="1" t="s">
        <v>462</v>
      </c>
      <c r="D19" s="5"/>
    </row>
    <row r="20" spans="1:3" ht="12.75">
      <c r="A20" s="931" t="s">
        <v>482</v>
      </c>
      <c r="B20" s="982">
        <v>5</v>
      </c>
      <c r="C20" s="326" t="s">
        <v>466</v>
      </c>
    </row>
    <row r="21" spans="1:3" ht="12.75">
      <c r="A21" s="252" t="s">
        <v>470</v>
      </c>
      <c r="B21" s="85">
        <f>B7</f>
        <v>12770</v>
      </c>
      <c r="C21" s="329" t="s">
        <v>471</v>
      </c>
    </row>
    <row r="22" spans="1:3" ht="12.75">
      <c r="A22" s="252" t="s">
        <v>467</v>
      </c>
      <c r="B22" s="85">
        <v>1000</v>
      </c>
      <c r="C22" s="329" t="s">
        <v>468</v>
      </c>
    </row>
    <row r="23" spans="1:3" ht="12.75">
      <c r="A23" s="252" t="s">
        <v>749</v>
      </c>
      <c r="B23" s="85">
        <v>980</v>
      </c>
      <c r="C23" s="329" t="s">
        <v>468</v>
      </c>
    </row>
    <row r="24" spans="1:3" ht="12.75">
      <c r="A24" s="163" t="s">
        <v>469</v>
      </c>
      <c r="B24" s="1029">
        <f>'18 Plán'!F3</f>
        <v>0.05</v>
      </c>
      <c r="C24" s="863"/>
    </row>
    <row r="25" ht="9" customHeight="1"/>
    <row r="26" ht="12.75">
      <c r="A26" s="1" t="s">
        <v>61</v>
      </c>
    </row>
    <row r="27" spans="1:3" ht="12.75">
      <c r="A27" s="931" t="s">
        <v>472</v>
      </c>
      <c r="B27" s="1313">
        <f>'18 Plán'!F4</f>
        <v>0.055</v>
      </c>
      <c r="C27" s="326"/>
    </row>
    <row r="28" spans="1:3" ht="12.75">
      <c r="A28" s="163" t="s">
        <v>465</v>
      </c>
      <c r="B28" s="563">
        <v>8</v>
      </c>
      <c r="C28" s="863" t="s">
        <v>466</v>
      </c>
    </row>
    <row r="29" ht="8.25" customHeight="1">
      <c r="B29" s="15"/>
    </row>
    <row r="30" ht="12.75">
      <c r="A30" s="1" t="s">
        <v>463</v>
      </c>
    </row>
    <row r="31" spans="1:3" ht="12.75">
      <c r="A31" s="931" t="s">
        <v>472</v>
      </c>
      <c r="B31" s="1313">
        <f>'18 Plán'!F5</f>
        <v>0.04</v>
      </c>
      <c r="C31" s="326"/>
    </row>
    <row r="32" spans="1:3" ht="12.75">
      <c r="A32" s="163" t="s">
        <v>465</v>
      </c>
      <c r="B32" s="330">
        <v>1</v>
      </c>
      <c r="C32" s="863" t="s">
        <v>473</v>
      </c>
    </row>
    <row r="34" ht="15.75">
      <c r="A34" s="561" t="s">
        <v>475</v>
      </c>
    </row>
    <row r="35" ht="7.5" customHeight="1"/>
    <row r="36" ht="12.75">
      <c r="A36" s="559" t="s">
        <v>476</v>
      </c>
    </row>
    <row r="37" spans="1:4" ht="12.75">
      <c r="A37" s="899" t="s">
        <v>601</v>
      </c>
      <c r="B37" s="950" t="s">
        <v>286</v>
      </c>
      <c r="C37" s="1033" t="s">
        <v>481</v>
      </c>
      <c r="D37" s="5"/>
    </row>
    <row r="38" spans="1:4" ht="12.75">
      <c r="A38" s="193" t="s">
        <v>38</v>
      </c>
      <c r="B38" s="109">
        <f>B15*B17/1000</f>
        <v>534450</v>
      </c>
      <c r="C38" s="189">
        <f aca="true" t="shared" si="0" ref="C38:C43">B38/$B$43</f>
        <v>0.7587948217098376</v>
      </c>
      <c r="D38" s="5"/>
    </row>
    <row r="39" spans="1:4" ht="12.75">
      <c r="A39" s="252" t="s">
        <v>462</v>
      </c>
      <c r="B39" s="596">
        <f>B21*B23/1000</f>
        <v>12514.6</v>
      </c>
      <c r="C39" s="190">
        <f t="shared" si="0"/>
        <v>0.017767824260024198</v>
      </c>
      <c r="D39" s="5"/>
    </row>
    <row r="40" spans="1:4" ht="12.75">
      <c r="A40" s="252" t="s">
        <v>61</v>
      </c>
      <c r="B40" s="596">
        <f>B8</f>
        <v>120882</v>
      </c>
      <c r="C40" s="190">
        <f t="shared" si="0"/>
        <v>0.17162435333132864</v>
      </c>
      <c r="D40" s="5"/>
    </row>
    <row r="41" spans="1:4" ht="12.75">
      <c r="A41" s="252" t="s">
        <v>463</v>
      </c>
      <c r="B41" s="596">
        <f>B9</f>
        <v>36494</v>
      </c>
      <c r="C41" s="190">
        <f t="shared" si="0"/>
        <v>0.05181300069880964</v>
      </c>
      <c r="D41" s="5"/>
    </row>
    <row r="42" spans="1:4" ht="12.75">
      <c r="A42" s="1032" t="s">
        <v>479</v>
      </c>
      <c r="B42" s="878">
        <f>SUM(B39:B41)</f>
        <v>169890.6</v>
      </c>
      <c r="C42" s="1031">
        <f t="shared" si="0"/>
        <v>0.24120517829016247</v>
      </c>
      <c r="D42" s="5"/>
    </row>
    <row r="43" spans="1:4" ht="12.75">
      <c r="A43" s="193" t="s">
        <v>480</v>
      </c>
      <c r="B43" s="109">
        <f>B38+B42</f>
        <v>704340.6</v>
      </c>
      <c r="C43" s="189">
        <f t="shared" si="0"/>
        <v>1</v>
      </c>
      <c r="D43" s="5"/>
    </row>
    <row r="44" ht="9" customHeight="1"/>
    <row r="45" ht="12.75">
      <c r="A45" s="559" t="s">
        <v>419</v>
      </c>
    </row>
    <row r="46" ht="7.5" customHeight="1"/>
    <row r="47" spans="1:7" ht="12.75">
      <c r="A47" s="96" t="s">
        <v>483</v>
      </c>
      <c r="B47" s="181">
        <f>-B23</f>
        <v>-980</v>
      </c>
      <c r="C47" s="96">
        <f>B24*B22</f>
        <v>50</v>
      </c>
      <c r="D47" s="96">
        <f>C47</f>
        <v>50</v>
      </c>
      <c r="E47" s="96">
        <f>D47</f>
        <v>50</v>
      </c>
      <c r="F47" s="96">
        <f>E47</f>
        <v>50</v>
      </c>
      <c r="G47" s="95">
        <f>F47+B16</f>
        <v>1050</v>
      </c>
    </row>
    <row r="48" spans="2:7" ht="12.75">
      <c r="B48" s="26"/>
      <c r="G48" s="15"/>
    </row>
    <row r="49" spans="1:7" ht="25.5">
      <c r="A49" s="896" t="s">
        <v>601</v>
      </c>
      <c r="B49" s="1037" t="s">
        <v>485</v>
      </c>
      <c r="C49" s="898" t="s">
        <v>486</v>
      </c>
      <c r="D49" s="1038" t="s">
        <v>487</v>
      </c>
      <c r="G49" s="15"/>
    </row>
    <row r="50" spans="1:4" ht="12.75">
      <c r="A50" s="1035" t="s">
        <v>484</v>
      </c>
      <c r="B50" s="1036">
        <f>IRR(B47:G47,0.1)</f>
        <v>0.05467941206882483</v>
      </c>
      <c r="C50" s="596">
        <f>B39</f>
        <v>12514.6</v>
      </c>
      <c r="D50" s="585">
        <f>B50*C50</f>
        <v>684.2909702765153</v>
      </c>
    </row>
    <row r="51" spans="1:4" ht="12.75">
      <c r="A51" s="1035" t="s">
        <v>61</v>
      </c>
      <c r="B51" s="1036">
        <f>B27</f>
        <v>0.055</v>
      </c>
      <c r="C51" s="596">
        <f>B40</f>
        <v>120882</v>
      </c>
      <c r="D51" s="585">
        <f>B51*C51</f>
        <v>6648.51</v>
      </c>
    </row>
    <row r="52" spans="1:4" ht="12.75">
      <c r="A52" s="1035" t="s">
        <v>463</v>
      </c>
      <c r="B52" s="1036">
        <f>B31</f>
        <v>0.04</v>
      </c>
      <c r="C52" s="596">
        <f>B41</f>
        <v>36494</v>
      </c>
      <c r="D52" s="585">
        <f>B52*C52</f>
        <v>1459.76</v>
      </c>
    </row>
    <row r="53" spans="1:4" ht="12.75">
      <c r="A53" s="193" t="s">
        <v>349</v>
      </c>
      <c r="B53" s="1039"/>
      <c r="C53" s="109">
        <f>SUM(C50:C52)</f>
        <v>169890.6</v>
      </c>
      <c r="D53" s="1040">
        <f>SUM(D50:D52)</f>
        <v>8792.560970276516</v>
      </c>
    </row>
    <row r="54" spans="1:4" ht="12.75">
      <c r="A54" s="193" t="s">
        <v>488</v>
      </c>
      <c r="B54" s="188"/>
      <c r="C54" s="113"/>
      <c r="D54" s="1041">
        <f>D53/C53</f>
        <v>0.05175425226749753</v>
      </c>
    </row>
    <row r="55" ht="9" customHeight="1"/>
    <row r="56" spans="1:5" ht="12.75">
      <c r="A56" s="559" t="s">
        <v>489</v>
      </c>
      <c r="E56" s="5"/>
    </row>
    <row r="57" spans="1:5" ht="12.75">
      <c r="A57" s="110" t="s">
        <v>490</v>
      </c>
      <c r="B57" s="323"/>
      <c r="C57" s="323"/>
      <c r="D57" s="1041">
        <f>'19 nVK - CAPM'!B21</f>
        <v>0.125</v>
      </c>
      <c r="E57" s="5"/>
    </row>
    <row r="58" spans="1:5" ht="12.75">
      <c r="A58" s="984" t="s">
        <v>491</v>
      </c>
      <c r="B58" s="330"/>
      <c r="C58" s="330"/>
      <c r="D58" s="1042">
        <f>'20 nVK - Stavebnice'!D84</f>
        <v>0.14166499834103607</v>
      </c>
      <c r="E58" s="5"/>
    </row>
    <row r="59" ht="9" customHeight="1">
      <c r="E59" s="5"/>
    </row>
    <row r="60" spans="1:5" ht="12.75">
      <c r="A60" s="559" t="s">
        <v>492</v>
      </c>
      <c r="E60" s="5"/>
    </row>
    <row r="61" spans="1:5" ht="12.75">
      <c r="A61" s="1034"/>
      <c r="B61" s="1132" t="s">
        <v>322</v>
      </c>
      <c r="C61" s="950" t="s">
        <v>493</v>
      </c>
      <c r="D61" s="1033" t="s">
        <v>487</v>
      </c>
      <c r="E61" s="5"/>
    </row>
    <row r="62" spans="1:5" ht="12.75">
      <c r="A62" s="252" t="s">
        <v>38</v>
      </c>
      <c r="B62" s="1043">
        <f>C38</f>
        <v>0.7587948217098376</v>
      </c>
      <c r="C62" s="1135">
        <f>D57</f>
        <v>0.125</v>
      </c>
      <c r="D62" s="1044">
        <f>B62*C62</f>
        <v>0.0948493527137297</v>
      </c>
      <c r="E62" s="5"/>
    </row>
    <row r="63" spans="1:5" ht="12.75">
      <c r="A63" s="252" t="s">
        <v>494</v>
      </c>
      <c r="B63" s="1043">
        <f>C42</f>
        <v>0.24120517829016247</v>
      </c>
      <c r="C63" s="1135">
        <f>D54*(1-'18 Plán'!F7)</f>
        <v>0.041920944336673004</v>
      </c>
      <c r="D63" s="1044">
        <f>B63*C63</f>
        <v>0.010111548852819188</v>
      </c>
      <c r="E63" s="5"/>
    </row>
    <row r="64" spans="1:5" ht="12.75">
      <c r="A64" s="966" t="s">
        <v>460</v>
      </c>
      <c r="B64" s="1136"/>
      <c r="C64" s="1136"/>
      <c r="D64" s="1137">
        <f>ROUND(SUM(D62:D63),3)</f>
        <v>0.105</v>
      </c>
      <c r="E64" s="5"/>
    </row>
    <row r="65" ht="12.75">
      <c r="E65" s="5"/>
    </row>
  </sheetData>
  <sheetProtection/>
  <hyperlinks>
    <hyperlink ref="G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scale="90" r:id="rId3"/>
  <headerFooter alignWithMargins="0">
    <oddHeader>&amp;LMařík, M. a kol.: Metody oceňování podniku - 1. díl, Ekopress 2011&amp;RPříklad UNIPO, a.s.</oddHeader>
    <oddFooter>&amp;C&amp;A&amp;R&amp;"Arial CE,kurzíva"© M. Mařík, P. Maříková</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
    </sheetView>
  </sheetViews>
  <sheetFormatPr defaultColWidth="9.00390625" defaultRowHeight="12.75"/>
  <cols>
    <col min="1" max="1" width="38.25390625" style="0" customWidth="1"/>
    <col min="2" max="9" width="8.375" style="0" customWidth="1"/>
  </cols>
  <sheetData>
    <row r="1" spans="1:7" ht="15.75">
      <c r="A1" s="965" t="s">
        <v>602</v>
      </c>
      <c r="G1" s="1167" t="s">
        <v>672</v>
      </c>
    </row>
    <row r="3" ht="16.5" thickBot="1">
      <c r="A3" s="1046" t="s">
        <v>291</v>
      </c>
    </row>
    <row r="4" spans="1:7" ht="13.5" thickBot="1">
      <c r="A4" s="1048" t="s">
        <v>296</v>
      </c>
      <c r="B4" s="812">
        <f>'18 Plán'!B10</f>
        <v>2006</v>
      </c>
      <c r="C4" s="1052">
        <f>'18 Plán'!C10</f>
        <v>2007</v>
      </c>
      <c r="D4" s="1053">
        <f>'18 Plán'!D10</f>
        <v>2008</v>
      </c>
      <c r="E4" s="1053">
        <f>'18 Plán'!E10</f>
        <v>2009</v>
      </c>
      <c r="F4" s="1054">
        <f>'18 Plán'!F10</f>
        <v>2010</v>
      </c>
      <c r="G4" s="812">
        <f>F4+1</f>
        <v>2011</v>
      </c>
    </row>
    <row r="5" spans="1:6" ht="13.5" thickBot="1">
      <c r="A5" s="962" t="s">
        <v>497</v>
      </c>
      <c r="B5" s="263"/>
      <c r="C5" s="263"/>
      <c r="D5" s="263"/>
      <c r="E5" s="263"/>
      <c r="F5" s="263"/>
    </row>
    <row r="6" spans="1:7" ht="12.75">
      <c r="A6" s="208" t="s">
        <v>293</v>
      </c>
      <c r="B6" s="353">
        <f>'16 Generátory'!F67</f>
        <v>0.15</v>
      </c>
      <c r="C6" s="1055">
        <f>'16 Generátory'!G67</f>
        <v>0.15</v>
      </c>
      <c r="D6" s="1056">
        <f>'16 Generátory'!H67</f>
        <v>0.15</v>
      </c>
      <c r="E6" s="1056">
        <f>'16 Generátory'!I67</f>
        <v>0.15</v>
      </c>
      <c r="F6" s="1057">
        <f>'16 Generátory'!J67</f>
        <v>0.15</v>
      </c>
      <c r="G6" s="208"/>
    </row>
    <row r="7" spans="1:7" ht="12.75">
      <c r="A7" s="167" t="s">
        <v>53</v>
      </c>
      <c r="B7" s="562">
        <f>'18 Plán'!B135</f>
        <v>200754</v>
      </c>
      <c r="C7" s="179">
        <f>'18 Plán'!C135</f>
        <v>242406.2236931507</v>
      </c>
      <c r="D7" s="177">
        <f>'18 Plán'!D135</f>
        <v>257677.81578581917</v>
      </c>
      <c r="E7" s="177">
        <f>'18 Plán'!E135</f>
        <v>272467.20098722883</v>
      </c>
      <c r="F7" s="180">
        <f>'18 Plán'!F135</f>
        <v>285000.6922326414</v>
      </c>
      <c r="G7" s="204"/>
    </row>
    <row r="8" spans="1:7" ht="12.75">
      <c r="A8" s="204" t="s">
        <v>294</v>
      </c>
      <c r="B8" s="273">
        <f>IF(B6*B7&gt;'18 Plán'!B117,'18 Plán'!C117,B6*B7)</f>
        <v>30113.1</v>
      </c>
      <c r="C8" s="628">
        <f>IF(C6*C7&gt;'18 Plán'!C117,'18 Plán'!D117,C6*C7)</f>
        <v>36360.9335539726</v>
      </c>
      <c r="D8" s="596">
        <f>IF(D6*D7&gt;'18 Plán'!D117,'18 Plán'!E117,D6*D7)</f>
        <v>38651.672367872874</v>
      </c>
      <c r="E8" s="596">
        <f>IF(E6*E7&gt;'18 Plán'!E117,'18 Plán'!F117,E6*E7)</f>
        <v>40870.08014808432</v>
      </c>
      <c r="F8" s="914">
        <f>IF(F6*F7&gt;'18 Plán'!F117,'18 Plán'!G117,F6*F7)</f>
        <v>42750.10383489621</v>
      </c>
      <c r="G8" s="204"/>
    </row>
    <row r="9" spans="1:8" ht="13.5" thickBot="1">
      <c r="A9" s="94" t="s">
        <v>295</v>
      </c>
      <c r="B9" s="629">
        <f>IF(B8&lt;'18 Plán'!B117,'18 Plán'!B117-'22 DCF'!B8,0)</f>
        <v>4301.163901087748</v>
      </c>
      <c r="C9" s="629">
        <f>IF(C8&lt;'18 Plán'!C117,'18 Plán'!C117-'22 DCF'!C8,0)</f>
        <v>10074.340185581197</v>
      </c>
      <c r="D9" s="597">
        <f>IF(D8&lt;'18 Plán'!D117,'18 Plán'!D117-'22 DCF'!D8,0)</f>
        <v>15371.709357173328</v>
      </c>
      <c r="E9" s="597">
        <f>IF(E8&lt;'18 Plán'!E117,'18 Plán'!E117-'22 DCF'!E8,0)</f>
        <v>19544.123717427363</v>
      </c>
      <c r="F9" s="1058">
        <f>IF(F8&lt;'18 Plán'!F117,'18 Plán'!F117-'22 DCF'!F8,0)</f>
        <v>22595.373079225094</v>
      </c>
      <c r="G9" s="94"/>
      <c r="H9" s="5"/>
    </row>
    <row r="10" spans="1:6" ht="12.75">
      <c r="A10" s="31"/>
      <c r="B10" s="83"/>
      <c r="C10" s="85"/>
      <c r="D10" s="85"/>
      <c r="E10" s="85"/>
      <c r="F10" s="85"/>
    </row>
    <row r="11" spans="1:6" ht="13.5" thickBot="1">
      <c r="A11" s="1047" t="s">
        <v>498</v>
      </c>
      <c r="B11" s="263"/>
      <c r="C11" s="263"/>
      <c r="D11" s="263"/>
      <c r="E11" s="263"/>
      <c r="F11" s="263"/>
    </row>
    <row r="12" spans="1:7" ht="12.75">
      <c r="A12" s="208" t="s">
        <v>381</v>
      </c>
      <c r="B12" s="274">
        <f>'18 Plán'!B101+'18 Plán'!B102</f>
        <v>452188</v>
      </c>
      <c r="C12" s="627">
        <f>'18 Plán'!C101+'18 Plán'!C102</f>
        <v>477799.5</v>
      </c>
      <c r="D12" s="595">
        <f>'18 Plán'!D101+'18 Plán'!D102</f>
        <v>503260</v>
      </c>
      <c r="E12" s="595">
        <f>'18 Plán'!E101+'18 Plán'!E102</f>
        <v>521350.5</v>
      </c>
      <c r="F12" s="876">
        <f>'18 Plán'!F101+'18 Plán'!F102</f>
        <v>551572</v>
      </c>
      <c r="G12" s="208"/>
    </row>
    <row r="13" spans="1:7" ht="12.75">
      <c r="A13" s="167" t="s">
        <v>235</v>
      </c>
      <c r="B13" s="562">
        <f>B8+'18 Plán'!B115+'18 Plán'!B112+'18 Plán'!B120-'18 Plán'!B135-'18 Plán'!B143</f>
        <v>36723.100000000006</v>
      </c>
      <c r="C13" s="179">
        <f>C8+'18 Plán'!C115+'18 Plán'!C112+'18 Plán'!C120-'18 Plán'!C135-'18 Plán'!C143</f>
        <v>41438.705652602745</v>
      </c>
      <c r="D13" s="177">
        <f>D8+'18 Plán'!D115+'18 Plán'!D112+'18 Plán'!D120-'18 Plán'!D135-'18 Plán'!D143</f>
        <v>50532.35759040443</v>
      </c>
      <c r="E13" s="177">
        <f>E8+'18 Plán'!E115+'18 Plán'!E112+'18 Plán'!E120-'18 Plán'!E135-'18 Plán'!E143</f>
        <v>65777.37002711126</v>
      </c>
      <c r="F13" s="180">
        <f>F8+'18 Plán'!F115+'18 Plán'!F112+'18 Plán'!F120-'18 Plán'!F135-'18 Plán'!F143</f>
        <v>68712.50904835836</v>
      </c>
      <c r="G13" s="167"/>
    </row>
    <row r="14" spans="1:10" ht="13.5" thickBot="1">
      <c r="A14" s="272" t="s">
        <v>292</v>
      </c>
      <c r="B14" s="275">
        <f>B12+B13</f>
        <v>488911.1</v>
      </c>
      <c r="C14" s="1062">
        <f>C12+C13</f>
        <v>519238.2056526027</v>
      </c>
      <c r="D14" s="1063">
        <f>D12+D13</f>
        <v>553792.3575904045</v>
      </c>
      <c r="E14" s="1063">
        <f>E12+E13</f>
        <v>587127.8700271113</v>
      </c>
      <c r="F14" s="257">
        <f>F12+F13</f>
        <v>620284.5090483583</v>
      </c>
      <c r="G14" s="1059">
        <f>F14*(1+$C$42)</f>
        <v>643235.0358831475</v>
      </c>
      <c r="H14" s="278"/>
      <c r="I14" s="278"/>
      <c r="J14" s="278"/>
    </row>
    <row r="15" spans="1:10" ht="13.5" thickBot="1">
      <c r="A15" s="86"/>
      <c r="B15" s="186"/>
      <c r="C15" s="186"/>
      <c r="D15" s="186"/>
      <c r="E15" s="186"/>
      <c r="F15" s="15"/>
      <c r="G15" s="15"/>
      <c r="H15" s="15"/>
      <c r="I15" s="15"/>
      <c r="J15" s="15"/>
    </row>
    <row r="16" spans="1:10" ht="12.75">
      <c r="A16" s="280" t="s">
        <v>768</v>
      </c>
      <c r="B16" s="1051">
        <f>'18 Plán'!B20</f>
        <v>71962</v>
      </c>
      <c r="C16" s="1064">
        <f>'18 Plán'!C20</f>
        <v>84169.26438720009</v>
      </c>
      <c r="D16" s="1065">
        <f>'18 Plán'!D20</f>
        <v>89150.2874406614</v>
      </c>
      <c r="E16" s="1065">
        <f>'18 Plán'!E20</f>
        <v>92102.8615875759</v>
      </c>
      <c r="F16" s="1066">
        <f>'18 Plán'!F20</f>
        <v>97782.09574986366</v>
      </c>
      <c r="G16" s="1060"/>
      <c r="H16" s="80"/>
      <c r="I16" s="80"/>
      <c r="J16" s="80"/>
    </row>
    <row r="17" spans="1:10" ht="13.5" thickBot="1">
      <c r="A17" s="272" t="s">
        <v>769</v>
      </c>
      <c r="B17" s="275">
        <f>B16*(1-'18 Plán'!B7)</f>
        <v>54691.12</v>
      </c>
      <c r="C17" s="1062">
        <f>C16*(1-'18 Plán'!C7)</f>
        <v>63968.64093427207</v>
      </c>
      <c r="D17" s="1063">
        <f>D16*(1-'18 Plán'!D7)</f>
        <v>70428.72707812251</v>
      </c>
      <c r="E17" s="1063">
        <f>E16*(1-'18 Plán'!E7)</f>
        <v>73682.28927006072</v>
      </c>
      <c r="F17" s="257">
        <f>F16*(1-'18 Plán'!F7)</f>
        <v>79203.49755738956</v>
      </c>
      <c r="G17" s="275">
        <f>F17*(1+$C$42)</f>
        <v>82134.02696701298</v>
      </c>
      <c r="H17" s="1427"/>
      <c r="I17" s="22"/>
      <c r="J17" s="22"/>
    </row>
    <row r="19" ht="16.5" thickBot="1">
      <c r="A19" s="1046" t="s">
        <v>304</v>
      </c>
    </row>
    <row r="20" spans="1:10" ht="27" customHeight="1" thickBot="1">
      <c r="A20" s="1061"/>
      <c r="B20" s="812">
        <f>B4</f>
        <v>2006</v>
      </c>
      <c r="C20" s="1052">
        <f>C4</f>
        <v>2007</v>
      </c>
      <c r="D20" s="1053">
        <f>D4</f>
        <v>2008</v>
      </c>
      <c r="E20" s="1053">
        <f>E4</f>
        <v>2009</v>
      </c>
      <c r="F20" s="1054">
        <f>F4</f>
        <v>2010</v>
      </c>
      <c r="G20" s="1367" t="s">
        <v>775</v>
      </c>
      <c r="H20" s="1387" t="s">
        <v>776</v>
      </c>
      <c r="I20" s="1385" t="s">
        <v>795</v>
      </c>
      <c r="J20" s="1429"/>
    </row>
    <row r="21" spans="1:10" ht="12.75">
      <c r="A21" s="208" t="s">
        <v>503</v>
      </c>
      <c r="B21" s="216">
        <f>B17/'16 Generátory'!E186-1</f>
        <v>0.18313539819294866</v>
      </c>
      <c r="C21" s="632">
        <f>C17/B17-1</f>
        <v>0.16963486822489782</v>
      </c>
      <c r="D21" s="209">
        <f>D17/C17-1</f>
        <v>0.10098832880454967</v>
      </c>
      <c r="E21" s="209">
        <f>E17/D17-1</f>
        <v>0.0461965213190525</v>
      </c>
      <c r="F21" s="1378">
        <f>F17/E17-1</f>
        <v>0.07493263770744796</v>
      </c>
      <c r="G21" s="632">
        <f>'16 Generátory'!C188</f>
        <v>0.10733034196055291</v>
      </c>
      <c r="H21" s="209">
        <f>(F17/B17)^(1/4)-1</f>
        <v>0.09700065204006836</v>
      </c>
      <c r="I21" s="207">
        <f>('16 Generátory'!J186/'16 Generátory'!B186)^(1/8)-1</f>
        <v>0.1021533954738234</v>
      </c>
      <c r="J21" s="5"/>
    </row>
    <row r="22" spans="1:13" ht="12.75">
      <c r="A22" s="204" t="s">
        <v>305</v>
      </c>
      <c r="B22" s="218">
        <f>(B14-'16 Generátory'!E192)/B17</f>
        <v>0.9271815973050099</v>
      </c>
      <c r="C22" s="630">
        <f>(C14-B14)/C17</f>
        <v>0.4740933246301717</v>
      </c>
      <c r="D22" s="210">
        <f>(D14-C14)/D17</f>
        <v>0.49062581948233736</v>
      </c>
      <c r="E22" s="210">
        <f>(E14-D14)/E17</f>
        <v>0.4524223224732514</v>
      </c>
      <c r="F22" s="807">
        <f>(F14-E14)/F17</f>
        <v>0.41862594511337436</v>
      </c>
      <c r="G22" s="630">
        <f>('16 Generátory'!F192-'16 Generátory'!B192)/SUM('16 Generátory'!C186:F186)</f>
        <v>0.5894753323399602</v>
      </c>
      <c r="H22" s="210">
        <f>(F14-B14)/SUM(C17:F17)</f>
        <v>0.45729590069976994</v>
      </c>
      <c r="I22" s="205">
        <f>('16 Generátory'!J192-'16 Generátory'!B192)/SUM('16 Generátory'!C186:J186)</f>
        <v>0.5072364505109543</v>
      </c>
      <c r="J22" s="5"/>
      <c r="K22" s="15"/>
      <c r="M22" s="281"/>
    </row>
    <row r="23" spans="1:13" ht="12.75">
      <c r="A23" s="204" t="s">
        <v>303</v>
      </c>
      <c r="B23" s="218">
        <f>('16 Generátory'!F186-'16 Generátory'!E186)/('16 Generátory'!E192-'16 Generátory'!D192)</f>
        <v>-1.1804624321668302</v>
      </c>
      <c r="C23" s="630">
        <f>(C17-B17)/(B14-'16 Generátory'!E192)</f>
        <v>0.18295754436667694</v>
      </c>
      <c r="D23" s="210">
        <f>(D17-C17)/(C14-B14)</f>
        <v>0.21301360630489372</v>
      </c>
      <c r="E23" s="210">
        <f>(E17-D17)/(D14-C14)</f>
        <v>0.09415835751937122</v>
      </c>
      <c r="F23" s="807">
        <f>(F17-E17)/(E14-D14)</f>
        <v>0.16562542117244508</v>
      </c>
      <c r="G23" s="630">
        <f>('16 Generátory'!F186-'16 Generátory'!C186)/('16 Generátory'!E192-'16 Generátory'!B192)</f>
        <v>0.26390053121490153</v>
      </c>
      <c r="H23" s="210">
        <f>(F17-C17)/(E14-B14)</f>
        <v>0.15511461656611325</v>
      </c>
      <c r="I23" s="205">
        <f>('16 Generátory'!J186-'16 Generátory'!C186)/('16 Generátory'!I192-'16 Generátory'!B192)</f>
        <v>0.19034278202089058</v>
      </c>
      <c r="J23" s="5"/>
      <c r="K23" s="15"/>
      <c r="M23" s="281"/>
    </row>
    <row r="24" spans="1:13" ht="13.5" thickBot="1">
      <c r="A24" s="94" t="s">
        <v>532</v>
      </c>
      <c r="B24" s="219">
        <f>B17/'16 Generátory'!E192</f>
        <v>0.12480786850828099</v>
      </c>
      <c r="C24" s="631">
        <f>C17/B14</f>
        <v>0.13083900311175606</v>
      </c>
      <c r="D24" s="211">
        <f>D17/C14</f>
        <v>0.13563856879445998</v>
      </c>
      <c r="E24" s="211">
        <f>E17/D14</f>
        <v>0.13305039020519954</v>
      </c>
      <c r="F24" s="1379">
        <f>F17/E14</f>
        <v>0.13489991124715686</v>
      </c>
      <c r="G24" s="1380" t="s">
        <v>774</v>
      </c>
      <c r="H24" s="1388" t="s">
        <v>774</v>
      </c>
      <c r="I24" s="1386" t="s">
        <v>774</v>
      </c>
      <c r="J24" s="5"/>
      <c r="M24" s="1417"/>
    </row>
    <row r="26" ht="16.5" thickBot="1">
      <c r="A26" s="1046" t="s">
        <v>297</v>
      </c>
    </row>
    <row r="27" spans="1:6" ht="13.5" thickBot="1">
      <c r="A27" s="1050"/>
      <c r="B27" s="1049"/>
      <c r="C27" s="1052">
        <f>C4</f>
        <v>2007</v>
      </c>
      <c r="D27" s="1053">
        <f>D4</f>
        <v>2008</v>
      </c>
      <c r="E27" s="1053">
        <f>E4</f>
        <v>2009</v>
      </c>
      <c r="F27" s="1054">
        <f>F4</f>
        <v>2010</v>
      </c>
    </row>
    <row r="28" spans="1:7" ht="12.75">
      <c r="A28" s="269" t="s">
        <v>423</v>
      </c>
      <c r="B28" s="270"/>
      <c r="C28" s="877">
        <f>'18 Plán'!C20</f>
        <v>84169.26438720009</v>
      </c>
      <c r="D28" s="878">
        <f>'18 Plán'!D20</f>
        <v>89150.2874406614</v>
      </c>
      <c r="E28" s="878">
        <f>'18 Plán'!E20</f>
        <v>92102.8615875759</v>
      </c>
      <c r="F28" s="879">
        <f>'18 Plán'!F20</f>
        <v>97782.09574986366</v>
      </c>
      <c r="G28" s="5"/>
    </row>
    <row r="29" spans="1:7" ht="12.75">
      <c r="A29" s="870" t="s">
        <v>499</v>
      </c>
      <c r="B29" s="871"/>
      <c r="C29" s="179">
        <f>C28*'18 Plán'!C7</f>
        <v>20200.623452928023</v>
      </c>
      <c r="D29" s="177">
        <f>D28*'18 Plán'!D7</f>
        <v>18721.560362538894</v>
      </c>
      <c r="E29" s="177">
        <f>E28*'18 Plán'!E7</f>
        <v>18420.57231751518</v>
      </c>
      <c r="F29" s="180">
        <f>F28*'18 Plán'!F7</f>
        <v>18578.598192474095</v>
      </c>
      <c r="G29" s="5"/>
    </row>
    <row r="30" spans="1:7" ht="12.75">
      <c r="A30" s="269" t="s">
        <v>427</v>
      </c>
      <c r="B30" s="270"/>
      <c r="C30" s="877">
        <f>C28-C29</f>
        <v>63968.64093427207</v>
      </c>
      <c r="D30" s="878">
        <f>D28-D29</f>
        <v>70428.72707812251</v>
      </c>
      <c r="E30" s="878">
        <f>E28-E29</f>
        <v>73682.28927006072</v>
      </c>
      <c r="F30" s="879">
        <f>F28-F29</f>
        <v>79203.49755738956</v>
      </c>
      <c r="G30" s="1424"/>
    </row>
    <row r="31" spans="1:7" ht="12.75">
      <c r="A31" s="265" t="s">
        <v>222</v>
      </c>
      <c r="B31" s="81"/>
      <c r="C31" s="628">
        <f>'18 Plán'!C18</f>
        <v>45372</v>
      </c>
      <c r="D31" s="596">
        <f>'18 Plán'!D18</f>
        <v>50722.51666666666</v>
      </c>
      <c r="E31" s="596">
        <f>'18 Plán'!E18</f>
        <v>55043.32833333334</v>
      </c>
      <c r="F31" s="914">
        <f>'18 Plán'!F18</f>
        <v>56132.8189074074</v>
      </c>
      <c r="G31" s="5"/>
    </row>
    <row r="32" spans="1:7" ht="12.75">
      <c r="A32" s="265" t="s">
        <v>298</v>
      </c>
      <c r="B32" s="81"/>
      <c r="C32" s="628">
        <f>'18 Plán'!C132-'18 Plán'!B132</f>
        <v>0</v>
      </c>
      <c r="D32" s="596">
        <f>'18 Plán'!D132-'18 Plán'!C132</f>
        <v>0</v>
      </c>
      <c r="E32" s="596">
        <f>'18 Plán'!E132-'18 Plán'!D132</f>
        <v>0</v>
      </c>
      <c r="F32" s="914">
        <f>'18 Plán'!F132-'18 Plán'!E132</f>
        <v>0</v>
      </c>
      <c r="G32" s="5"/>
    </row>
    <row r="33" spans="1:7" ht="12.75">
      <c r="A33" s="265" t="s">
        <v>500</v>
      </c>
      <c r="B33" s="248"/>
      <c r="C33" s="628">
        <f>-(C12-B12+C31)</f>
        <v>-70983.5</v>
      </c>
      <c r="D33" s="596">
        <f>-(D12-C12+D31)</f>
        <v>-76183.01666666666</v>
      </c>
      <c r="E33" s="596">
        <f>-(E12-D12+E31)</f>
        <v>-73133.82833333334</v>
      </c>
      <c r="F33" s="914">
        <f>-(F12-E12+F31)</f>
        <v>-86354.3189074074</v>
      </c>
      <c r="G33" s="1422"/>
    </row>
    <row r="34" spans="1:7" ht="12.75">
      <c r="A34" s="870" t="s">
        <v>307</v>
      </c>
      <c r="B34" s="255"/>
      <c r="C34" s="179">
        <f>-(C13-B13)</f>
        <v>-4715.605652602739</v>
      </c>
      <c r="D34" s="177">
        <f>-(D13-C13)</f>
        <v>-9093.651937801682</v>
      </c>
      <c r="E34" s="177">
        <f>-(E13-D13)</f>
        <v>-15245.012436706835</v>
      </c>
      <c r="F34" s="180">
        <f>-(F13-E13)</f>
        <v>-2935.1390212471015</v>
      </c>
      <c r="G34" s="1422"/>
    </row>
    <row r="35" spans="1:7" ht="12.75">
      <c r="A35" s="1086" t="s">
        <v>299</v>
      </c>
      <c r="B35" s="1087"/>
      <c r="C35" s="1088">
        <f>SUM(C30:C34)</f>
        <v>33641.535281669334</v>
      </c>
      <c r="D35" s="1089">
        <f>SUM(D30:D34)</f>
        <v>35874.57514032083</v>
      </c>
      <c r="E35" s="1089">
        <f>SUM(E30:E34)</f>
        <v>40346.776833353884</v>
      </c>
      <c r="F35" s="1090">
        <f>SUM(F30:F34)</f>
        <v>46046.85853614245</v>
      </c>
      <c r="G35" s="1424"/>
    </row>
    <row r="36" spans="1:7" ht="12.75">
      <c r="A36" s="265"/>
      <c r="B36" s="81"/>
      <c r="C36" s="805"/>
      <c r="D36" s="252"/>
      <c r="E36" s="252"/>
      <c r="F36" s="806"/>
      <c r="G36" s="5"/>
    </row>
    <row r="37" spans="1:7" ht="12.75">
      <c r="A37" s="265" t="s">
        <v>300</v>
      </c>
      <c r="B37" s="1085">
        <f>'21 WACC'!D64</f>
        <v>0.105</v>
      </c>
      <c r="C37" s="1067">
        <f>1/(1+$B$37)^(C4-$B$4)</f>
        <v>0.9049773755656109</v>
      </c>
      <c r="D37" s="1068">
        <f>1/(1+$B$37)^(D4-$B$4)</f>
        <v>0.8189840502856207</v>
      </c>
      <c r="E37" s="1068">
        <f>1/(1+$B$37)^(E4-$B$4)</f>
        <v>0.7411620364575753</v>
      </c>
      <c r="F37" s="1069">
        <f>1/(1+$B$37)^(F4-$B$4)</f>
        <v>0.67073487462224</v>
      </c>
      <c r="G37" s="5"/>
    </row>
    <row r="38" spans="1:7" ht="12.75">
      <c r="A38" s="265"/>
      <c r="B38" s="81"/>
      <c r="C38" s="805"/>
      <c r="D38" s="252"/>
      <c r="E38" s="252"/>
      <c r="F38" s="806"/>
      <c r="G38" s="5"/>
    </row>
    <row r="39" spans="1:7" ht="13.5" thickBot="1">
      <c r="A39" s="268" t="s">
        <v>738</v>
      </c>
      <c r="B39" s="276"/>
      <c r="C39" s="1062">
        <f>C35*C37</f>
        <v>30444.828309203018</v>
      </c>
      <c r="D39" s="1063">
        <f>D35*D37</f>
        <v>29380.70485069579</v>
      </c>
      <c r="E39" s="1063">
        <f>E35*E37</f>
        <v>29903.499282307886</v>
      </c>
      <c r="F39" s="257">
        <f>F35*F37</f>
        <v>30885.233886987528</v>
      </c>
      <c r="G39" s="5"/>
    </row>
    <row r="40" spans="1:7" ht="12.75">
      <c r="A40" s="1315"/>
      <c r="G40" s="5"/>
    </row>
    <row r="41" ht="15.75">
      <c r="A41" s="1046" t="s">
        <v>301</v>
      </c>
    </row>
    <row r="42" spans="1:5" ht="12.75">
      <c r="A42" s="981" t="s">
        <v>221</v>
      </c>
      <c r="B42" s="982"/>
      <c r="C42" s="1310">
        <v>0.037</v>
      </c>
      <c r="D42" s="326"/>
      <c r="E42" s="1425"/>
    </row>
    <row r="43" spans="1:5" ht="12.75">
      <c r="A43" s="983" t="s">
        <v>504</v>
      </c>
      <c r="B43" s="31"/>
      <c r="C43" s="1312">
        <f>(G14-F14)/G17</f>
        <v>0.2794277558557635</v>
      </c>
      <c r="D43" s="1081"/>
      <c r="E43" s="1425"/>
    </row>
    <row r="44" spans="1:5" ht="12.75">
      <c r="A44" s="984" t="s">
        <v>303</v>
      </c>
      <c r="B44" s="330"/>
      <c r="C44" s="1311">
        <f>C42/C43</f>
        <v>0.1324134744119652</v>
      </c>
      <c r="D44" s="863"/>
      <c r="E44" s="1425"/>
    </row>
    <row r="45" spans="5:7" ht="12.75">
      <c r="E45" s="5"/>
      <c r="G45" s="565"/>
    </row>
    <row r="46" spans="1:5" ht="12.75">
      <c r="A46" s="1073" t="s">
        <v>739</v>
      </c>
      <c r="B46" s="1075"/>
      <c r="C46" s="1074">
        <f>G17-(G14-F14)</f>
        <v>59183.50013222378</v>
      </c>
      <c r="D46" s="1075" t="s">
        <v>310</v>
      </c>
      <c r="E46" s="1426"/>
    </row>
    <row r="47" spans="1:5" ht="12.75">
      <c r="A47" s="983" t="s">
        <v>306</v>
      </c>
      <c r="B47" s="329"/>
      <c r="C47" s="85">
        <f>(G17*(1-C42/C44)/(B37-C42))</f>
        <v>870345.5901797614</v>
      </c>
      <c r="D47" s="329" t="s">
        <v>310</v>
      </c>
      <c r="E47" s="1426"/>
    </row>
    <row r="48" spans="1:5" ht="12.75">
      <c r="A48" s="1072" t="s">
        <v>603</v>
      </c>
      <c r="B48" s="1094"/>
      <c r="C48" s="563">
        <f>C46/(B37-C42)</f>
        <v>870345.5901797614</v>
      </c>
      <c r="D48" s="863" t="s">
        <v>310</v>
      </c>
      <c r="E48" s="1426"/>
    </row>
    <row r="49" spans="1:5" ht="12.75">
      <c r="A49" s="83"/>
      <c r="B49" s="83"/>
      <c r="C49" s="85"/>
      <c r="D49" s="31"/>
      <c r="E49" s="1426"/>
    </row>
    <row r="50" spans="1:5" ht="15.75">
      <c r="A50" s="1046" t="s">
        <v>737</v>
      </c>
      <c r="B50" s="83"/>
      <c r="C50" s="85"/>
      <c r="D50" s="31"/>
      <c r="E50" s="1426"/>
    </row>
    <row r="51" spans="1:5" ht="12.75">
      <c r="A51" s="981" t="s">
        <v>308</v>
      </c>
      <c r="B51" s="326"/>
      <c r="C51" s="1027">
        <f>SUM(C39:F39)</f>
        <v>120614.26632919422</v>
      </c>
      <c r="D51" s="326" t="s">
        <v>310</v>
      </c>
      <c r="E51" s="1422"/>
    </row>
    <row r="52" spans="1:5" ht="12.75">
      <c r="A52" s="984" t="s">
        <v>309</v>
      </c>
      <c r="B52" s="863"/>
      <c r="C52" s="563">
        <f>C47*F37</f>
        <v>583771.1403072418</v>
      </c>
      <c r="D52" s="863" t="s">
        <v>310</v>
      </c>
      <c r="E52" s="1422"/>
    </row>
    <row r="53" spans="1:5" ht="12.75">
      <c r="A53" s="1030" t="s">
        <v>311</v>
      </c>
      <c r="B53" s="1076"/>
      <c r="C53" s="186">
        <f>C51+C52</f>
        <v>704385.406636436</v>
      </c>
      <c r="D53" s="1076" t="s">
        <v>310</v>
      </c>
      <c r="E53" s="1427"/>
    </row>
    <row r="54" spans="1:5" ht="12.75">
      <c r="A54" s="984" t="s">
        <v>312</v>
      </c>
      <c r="B54" s="863"/>
      <c r="C54" s="563">
        <f>'21 WACC'!B42</f>
        <v>169890.6</v>
      </c>
      <c r="D54" s="863" t="s">
        <v>310</v>
      </c>
      <c r="E54" s="1422"/>
    </row>
    <row r="55" spans="1:5" ht="12.75">
      <c r="A55" s="1030" t="s">
        <v>313</v>
      </c>
      <c r="B55" s="1076"/>
      <c r="C55" s="186">
        <f>C53-C54</f>
        <v>534494.806636436</v>
      </c>
      <c r="D55" s="1076" t="s">
        <v>310</v>
      </c>
      <c r="E55" s="1427"/>
    </row>
    <row r="56" spans="1:5" ht="12.75">
      <c r="A56" s="984" t="s">
        <v>314</v>
      </c>
      <c r="B56" s="863"/>
      <c r="C56" s="563">
        <f>'25 Pohledávka'!E50+'26 Dluhopisy'!B18+B9</f>
        <v>10167.339311731754</v>
      </c>
      <c r="D56" s="863" t="s">
        <v>310</v>
      </c>
      <c r="E56" s="1422"/>
    </row>
    <row r="57" spans="1:5" ht="12.75">
      <c r="A57" s="1045" t="s">
        <v>609</v>
      </c>
      <c r="B57" s="1078"/>
      <c r="C57" s="1077">
        <f>ROUND(C55+C56,0)</f>
        <v>544662</v>
      </c>
      <c r="D57" s="1078" t="s">
        <v>310</v>
      </c>
      <c r="E57" s="1428"/>
    </row>
    <row r="58" ht="12.75">
      <c r="E58" s="5"/>
    </row>
    <row r="59" spans="1:5" ht="15.75">
      <c r="A59" s="1046" t="s">
        <v>604</v>
      </c>
      <c r="E59" s="5"/>
    </row>
    <row r="60" spans="1:5" ht="12.75">
      <c r="A60" s="1070" t="s">
        <v>380</v>
      </c>
      <c r="B60" s="1071"/>
      <c r="C60" s="1082">
        <f>C54/C55</f>
        <v>0.3178526673984314</v>
      </c>
      <c r="D60" s="326"/>
      <c r="E60" s="5"/>
    </row>
    <row r="61" spans="1:5" ht="12.75">
      <c r="A61" s="1079" t="s">
        <v>495</v>
      </c>
      <c r="B61" s="1080"/>
      <c r="C61" s="1084">
        <f>C55/C53</f>
        <v>0.75881016500433</v>
      </c>
      <c r="D61" s="863"/>
      <c r="E61" s="5"/>
    </row>
    <row r="62" spans="1:5" ht="12.75">
      <c r="A62" s="1070" t="s">
        <v>644</v>
      </c>
      <c r="B62" s="1071"/>
      <c r="C62" s="1134">
        <f>C55/'21 WACC'!B15*1000</f>
        <v>3563.2987109095734</v>
      </c>
      <c r="D62" s="326"/>
      <c r="E62" s="5"/>
    </row>
    <row r="63" spans="1:5" ht="12.75">
      <c r="A63" s="1079" t="s">
        <v>645</v>
      </c>
      <c r="B63" s="1080"/>
      <c r="C63" s="1083">
        <f>C57/'21 WACC'!B15*1000</f>
        <v>3631.08</v>
      </c>
      <c r="D63" s="863"/>
      <c r="E63" s="5"/>
    </row>
    <row r="64" spans="1:5" ht="12.75">
      <c r="A64" s="1381" t="s">
        <v>777</v>
      </c>
      <c r="B64" s="98"/>
      <c r="C64" s="1433">
        <f>C57/'7 Rozvaha'!G27</f>
        <v>1.6681722003771546</v>
      </c>
      <c r="D64" s="98"/>
      <c r="E64" s="5"/>
    </row>
    <row r="65" ht="12.75">
      <c r="E65" s="5"/>
    </row>
  </sheetData>
  <sheetProtection/>
  <hyperlinks>
    <hyperlink ref="G1" location="Obsah!A1" display="Skok na obsah"/>
  </hyperlinks>
  <printOptions/>
  <pageMargins left="0.3937007874015748" right="0.3937007874015748" top="0.984251968503937" bottom="0.984251968503937" header="0.5118110236220472" footer="0.5118110236220472"/>
  <pageSetup fitToHeight="1" fitToWidth="1" horizontalDpi="600" verticalDpi="600" orientation="portrait" paperSize="9" scale="83" r:id="rId3"/>
  <headerFooter alignWithMargins="0">
    <oddHeader>&amp;LMařík, M. a kol.: Metody oceňování podniku - 1. díl, Ekopress 2011&amp;RPříklad UNIPO, a.s.</oddHeader>
    <oddFooter>&amp;C&amp;A&amp;R&amp;"Arial CE,kurzíva"© M. Mařík, P. Maříková</oddFooter>
  </headerFooter>
  <rowBreaks count="1" manualBreakCount="1">
    <brk id="49" max="255" man="1"/>
  </rowBreaks>
  <legacyDrawing r:id="rId2"/>
</worksheet>
</file>

<file path=xl/worksheets/sheet24.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2.75"/>
  <cols>
    <col min="1" max="1" width="34.75390625" style="0" customWidth="1"/>
    <col min="2" max="2" width="9.25390625" style="0" bestFit="1" customWidth="1"/>
  </cols>
  <sheetData>
    <row r="1" spans="1:7" ht="15.75">
      <c r="A1" s="965" t="s">
        <v>605</v>
      </c>
      <c r="G1" s="1167" t="s">
        <v>672</v>
      </c>
    </row>
    <row r="3" ht="15.75">
      <c r="A3" s="1046" t="s">
        <v>315</v>
      </c>
    </row>
    <row r="5" spans="1:3" ht="12.75">
      <c r="A5" s="96" t="s">
        <v>317</v>
      </c>
      <c r="B5" s="116">
        <f>'22 DCF'!B37</f>
        <v>0.105</v>
      </c>
      <c r="C5" s="5"/>
    </row>
    <row r="6" ht="13.5" thickBot="1">
      <c r="B6" s="277"/>
    </row>
    <row r="7" spans="1:8" ht="13.5" thickBot="1">
      <c r="A7" s="1048" t="str">
        <f>'22 DCF'!A4</f>
        <v>31. 12.</v>
      </c>
      <c r="B7" s="1048">
        <f>'22 DCF'!B4</f>
        <v>2006</v>
      </c>
      <c r="C7" s="1092">
        <f>'22 DCF'!C4</f>
        <v>2007</v>
      </c>
      <c r="D7" s="1092">
        <f>'22 DCF'!D4</f>
        <v>2008</v>
      </c>
      <c r="E7" s="1092">
        <f>'22 DCF'!E4</f>
        <v>2009</v>
      </c>
      <c r="F7" s="1092">
        <f>'22 DCF'!F4</f>
        <v>2010</v>
      </c>
      <c r="G7" s="812">
        <f>F7+1</f>
        <v>2011</v>
      </c>
      <c r="H7" s="1430"/>
    </row>
    <row r="8" spans="1:9" ht="12.75">
      <c r="A8" s="204" t="s">
        <v>316</v>
      </c>
      <c r="B8" s="273">
        <f>'22 DCF'!B17</f>
        <v>54691.12</v>
      </c>
      <c r="C8" s="85">
        <f>'22 DCF'!C17</f>
        <v>63968.64093427207</v>
      </c>
      <c r="D8" s="85">
        <f>'22 DCF'!D17</f>
        <v>70428.72707812251</v>
      </c>
      <c r="E8" s="85">
        <f>'22 DCF'!E17</f>
        <v>73682.28927006072</v>
      </c>
      <c r="F8" s="85">
        <f>'22 DCF'!F17</f>
        <v>79203.49755738956</v>
      </c>
      <c r="G8" s="273">
        <f>F8*(1+C19)</f>
        <v>82134.02696701298</v>
      </c>
      <c r="H8" s="5"/>
      <c r="I8" s="15"/>
    </row>
    <row r="9" spans="1:9" ht="12.75">
      <c r="A9" s="204" t="s">
        <v>821</v>
      </c>
      <c r="B9" s="273">
        <f>'22 DCF'!B14</f>
        <v>488911.1</v>
      </c>
      <c r="C9" s="85">
        <f>'22 DCF'!C14</f>
        <v>519238.2056526027</v>
      </c>
      <c r="D9" s="85">
        <f>'22 DCF'!D14</f>
        <v>553792.3575904045</v>
      </c>
      <c r="E9" s="85">
        <f>'22 DCF'!E14</f>
        <v>587127.8700271113</v>
      </c>
      <c r="F9" s="85">
        <f>'22 DCF'!F14</f>
        <v>620284.5090483583</v>
      </c>
      <c r="G9" s="273">
        <f>F9*(1+C19)</f>
        <v>643235.0358831475</v>
      </c>
      <c r="H9" s="5"/>
      <c r="I9" s="15"/>
    </row>
    <row r="10" spans="1:8" ht="15.75">
      <c r="A10" s="167" t="s">
        <v>533</v>
      </c>
      <c r="B10" s="167"/>
      <c r="C10" s="563">
        <f>$B$5*B9</f>
        <v>51335.665499999996</v>
      </c>
      <c r="D10" s="563">
        <f>$B$5*C9</f>
        <v>54520.01159352328</v>
      </c>
      <c r="E10" s="563">
        <f>$B$5*D9</f>
        <v>58148.197546992466</v>
      </c>
      <c r="F10" s="563">
        <f>$B$5*E9</f>
        <v>61648.42635284668</v>
      </c>
      <c r="G10" s="562">
        <f>$B$5*F9</f>
        <v>65129.87345007762</v>
      </c>
      <c r="H10" s="5"/>
    </row>
    <row r="11" spans="1:8" ht="12.75">
      <c r="A11" s="1097" t="s">
        <v>318</v>
      </c>
      <c r="B11" s="1095"/>
      <c r="C11" s="1091">
        <f>C8-C10</f>
        <v>12632.975434272077</v>
      </c>
      <c r="D11" s="1091">
        <f>D8-D10</f>
        <v>15908.715484599226</v>
      </c>
      <c r="E11" s="1091">
        <f>E8-E10</f>
        <v>15534.091723068253</v>
      </c>
      <c r="F11" s="1091">
        <f>F8-F10</f>
        <v>17555.07120454288</v>
      </c>
      <c r="G11" s="1093">
        <f>G8-G10</f>
        <v>17004.15351693536</v>
      </c>
      <c r="H11" s="5"/>
    </row>
    <row r="12" spans="1:8" ht="12.75">
      <c r="A12" s="1086"/>
      <c r="B12" s="1095"/>
      <c r="C12" s="1091"/>
      <c r="D12" s="1091"/>
      <c r="E12" s="1091"/>
      <c r="F12" s="1091"/>
      <c r="G12" s="1093"/>
      <c r="H12" s="5"/>
    </row>
    <row r="13" spans="1:8" ht="12.75">
      <c r="A13" s="265" t="str">
        <f>'22 DCF'!A37</f>
        <v>Odúročitel pro diskontní míru:</v>
      </c>
      <c r="B13" s="1096">
        <f>B5</f>
        <v>0.105</v>
      </c>
      <c r="C13" s="271">
        <f>'22 DCF'!C37</f>
        <v>0.9049773755656109</v>
      </c>
      <c r="D13" s="271">
        <f>'22 DCF'!D37</f>
        <v>0.8189840502856207</v>
      </c>
      <c r="E13" s="271">
        <f>'22 DCF'!E37</f>
        <v>0.7411620364575753</v>
      </c>
      <c r="F13" s="271">
        <f>'22 DCF'!F37</f>
        <v>0.67073487462224</v>
      </c>
      <c r="G13" s="584"/>
      <c r="H13" s="5"/>
    </row>
    <row r="14" spans="1:8" ht="12.75">
      <c r="A14" s="265"/>
      <c r="B14" s="1096"/>
      <c r="C14" s="271"/>
      <c r="D14" s="271"/>
      <c r="E14" s="271"/>
      <c r="F14" s="271"/>
      <c r="G14" s="584"/>
      <c r="H14" s="5"/>
    </row>
    <row r="15" spans="1:8" ht="13.5" thickBot="1">
      <c r="A15" s="268" t="s">
        <v>319</v>
      </c>
      <c r="B15" s="276"/>
      <c r="C15" s="23">
        <f>C11*C13</f>
        <v>11432.556954092377</v>
      </c>
      <c r="D15" s="23">
        <f>D11*D13</f>
        <v>13028.984242418646</v>
      </c>
      <c r="E15" s="23">
        <f>E11*E13</f>
        <v>11513.27905598803</v>
      </c>
      <c r="F15" s="23">
        <f>F11*F13</f>
        <v>11774.798483363566</v>
      </c>
      <c r="G15" s="94"/>
      <c r="H15" s="5"/>
    </row>
    <row r="16" ht="12.75">
      <c r="H16" s="5"/>
    </row>
    <row r="18" ht="15.75">
      <c r="A18" s="1046" t="s">
        <v>301</v>
      </c>
    </row>
    <row r="19" spans="1:5" ht="12.75">
      <c r="A19" s="981" t="s">
        <v>221</v>
      </c>
      <c r="B19" s="982"/>
      <c r="C19" s="1310">
        <f>'22 DCF'!C42</f>
        <v>0.037</v>
      </c>
      <c r="D19" s="326"/>
      <c r="E19" s="1425"/>
    </row>
    <row r="20" spans="1:5" ht="12.75">
      <c r="A20" s="984" t="s">
        <v>305</v>
      </c>
      <c r="B20" s="330"/>
      <c r="C20" s="1311">
        <f>'22 DCF'!C43</f>
        <v>0.2794277558557635</v>
      </c>
      <c r="D20" s="863"/>
      <c r="E20" s="1425"/>
    </row>
    <row r="21" spans="1:5" ht="12.75">
      <c r="A21" s="31"/>
      <c r="C21" s="264"/>
      <c r="E21" s="1425"/>
    </row>
    <row r="22" spans="1:5" ht="12.75">
      <c r="A22" s="110" t="s">
        <v>301</v>
      </c>
      <c r="B22" s="323"/>
      <c r="C22" s="174">
        <f>G11/(B5-C19)</f>
        <v>250061.08113140232</v>
      </c>
      <c r="D22" s="98" t="s">
        <v>310</v>
      </c>
      <c r="E22" s="1422"/>
    </row>
    <row r="23" ht="12.75">
      <c r="E23" s="5"/>
    </row>
    <row r="24" spans="1:5" ht="15.75">
      <c r="A24" s="1046" t="s">
        <v>737</v>
      </c>
      <c r="B24" s="1046"/>
      <c r="E24" s="5"/>
    </row>
    <row r="25" spans="1:5" ht="12.75">
      <c r="A25" s="981" t="s">
        <v>308</v>
      </c>
      <c r="B25" s="326"/>
      <c r="C25" s="1027">
        <f>SUM(C15:F15)</f>
        <v>47749.61873586262</v>
      </c>
      <c r="D25" s="326" t="s">
        <v>310</v>
      </c>
      <c r="E25" s="1422"/>
    </row>
    <row r="26" spans="1:5" ht="12.75">
      <c r="A26" s="984" t="s">
        <v>309</v>
      </c>
      <c r="B26" s="863"/>
      <c r="C26" s="563">
        <f>C22*F13</f>
        <v>167724.68790057293</v>
      </c>
      <c r="D26" s="863" t="s">
        <v>310</v>
      </c>
      <c r="E26" s="1422"/>
    </row>
    <row r="27" spans="1:6" ht="12.75">
      <c r="A27" s="1030" t="s">
        <v>320</v>
      </c>
      <c r="B27" s="1076"/>
      <c r="C27" s="186">
        <f>C25+C26</f>
        <v>215474.30663643556</v>
      </c>
      <c r="D27" s="329" t="s">
        <v>310</v>
      </c>
      <c r="E27" s="1427"/>
      <c r="F27" s="1"/>
    </row>
    <row r="28" spans="1:6" ht="12.75">
      <c r="A28" s="984" t="s">
        <v>321</v>
      </c>
      <c r="B28" s="863"/>
      <c r="C28" s="563">
        <f>B9</f>
        <v>488911.1</v>
      </c>
      <c r="D28" s="863" t="s">
        <v>310</v>
      </c>
      <c r="E28" s="1422"/>
      <c r="F28" s="283"/>
    </row>
    <row r="29" spans="1:6" ht="12.75">
      <c r="A29" s="1030" t="s">
        <v>311</v>
      </c>
      <c r="B29" s="1076"/>
      <c r="C29" s="186">
        <f>C27+C28</f>
        <v>704385.4066364355</v>
      </c>
      <c r="D29" s="1076" t="s">
        <v>310</v>
      </c>
      <c r="E29" s="1427"/>
      <c r="F29" s="284"/>
    </row>
    <row r="30" spans="1:5" ht="12.75">
      <c r="A30" s="984" t="s">
        <v>312</v>
      </c>
      <c r="B30" s="863"/>
      <c r="C30" s="563">
        <f>'22 DCF'!C54</f>
        <v>169890.6</v>
      </c>
      <c r="D30" s="863" t="s">
        <v>310</v>
      </c>
      <c r="E30" s="1425"/>
    </row>
    <row r="31" spans="1:5" ht="12.75">
      <c r="A31" s="1030" t="s">
        <v>313</v>
      </c>
      <c r="B31" s="1076"/>
      <c r="C31" s="186">
        <f>C29-C30</f>
        <v>534494.8066364356</v>
      </c>
      <c r="D31" s="1076" t="s">
        <v>310</v>
      </c>
      <c r="E31" s="1427"/>
    </row>
    <row r="32" spans="1:5" ht="12.75">
      <c r="A32" s="984" t="s">
        <v>314</v>
      </c>
      <c r="B32" s="863"/>
      <c r="C32" s="563">
        <f>'22 DCF'!C56</f>
        <v>10167.339311731754</v>
      </c>
      <c r="D32" s="863" t="s">
        <v>310</v>
      </c>
      <c r="E32" s="1422"/>
    </row>
    <row r="33" spans="1:5" ht="12.75">
      <c r="A33" s="1045" t="s">
        <v>608</v>
      </c>
      <c r="B33" s="1078"/>
      <c r="C33" s="1077">
        <f>C31+C32</f>
        <v>544662.1459481673</v>
      </c>
      <c r="D33" s="1078" t="s">
        <v>310</v>
      </c>
      <c r="E33" s="1428"/>
    </row>
    <row r="34" ht="12.75">
      <c r="E34" s="5"/>
    </row>
    <row r="35" ht="12.75">
      <c r="E35" s="5"/>
    </row>
  </sheetData>
  <sheetProtection/>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C28" formula="1"/>
  </ignoredErrors>
</worksheet>
</file>

<file path=xl/worksheets/sheet25.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9.00390625" defaultRowHeight="12.75"/>
  <cols>
    <col min="1" max="1" width="46.00390625" style="0" customWidth="1"/>
    <col min="2" max="6" width="8.125" style="0" customWidth="1"/>
  </cols>
  <sheetData>
    <row r="1" spans="1:7" ht="15.75">
      <c r="A1" s="965" t="s">
        <v>606</v>
      </c>
      <c r="G1" s="1167" t="s">
        <v>672</v>
      </c>
    </row>
    <row r="2" ht="15.75">
      <c r="A2" s="1046" t="s">
        <v>607</v>
      </c>
    </row>
    <row r="3" ht="13.5" thickBot="1"/>
    <row r="4" spans="1:7" ht="13.5" thickBot="1">
      <c r="A4" s="862"/>
      <c r="B4" s="1052">
        <f>'8 Výsledovka'!D4</f>
        <v>2002</v>
      </c>
      <c r="C4" s="1053">
        <f>'8 Výsledovka'!E4</f>
        <v>2003</v>
      </c>
      <c r="D4" s="1053">
        <f>'8 Výsledovka'!F4</f>
        <v>2004</v>
      </c>
      <c r="E4" s="1053">
        <f>'8 Výsledovka'!G4</f>
        <v>2005</v>
      </c>
      <c r="F4" s="1054">
        <f>'8 Výsledovka'!H4</f>
        <v>2006</v>
      </c>
      <c r="G4" s="1048" t="s">
        <v>349</v>
      </c>
    </row>
    <row r="5" spans="1:7" ht="12.75">
      <c r="A5" s="639" t="s">
        <v>397</v>
      </c>
      <c r="B5" s="877">
        <f>'8 Výsledovka'!D30</f>
        <v>30340.699999999997</v>
      </c>
      <c r="C5" s="878">
        <f>'8 Výsledovka'!E30</f>
        <v>35777.415030000004</v>
      </c>
      <c r="D5" s="878">
        <f>'8 Výsledovka'!F30</f>
        <v>18224.717593707</v>
      </c>
      <c r="E5" s="878">
        <f>'8 Výsledovka'!G30</f>
        <v>52778.677132267185</v>
      </c>
      <c r="F5" s="879">
        <f>'8 Výsledovka'!H30</f>
        <v>64001.27208558023</v>
      </c>
      <c r="G5" s="204"/>
    </row>
    <row r="6" spans="1:7" ht="12.75">
      <c r="A6" s="204" t="s">
        <v>508</v>
      </c>
      <c r="B6" s="628">
        <f>'8 Výsledovka'!D14</f>
        <v>24292</v>
      </c>
      <c r="C6" s="596">
        <f>'8 Výsledovka'!E14</f>
        <v>23096</v>
      </c>
      <c r="D6" s="596">
        <f>'8 Výsledovka'!F14</f>
        <v>35640</v>
      </c>
      <c r="E6" s="596">
        <f>'8 Výsledovka'!G14</f>
        <v>45310</v>
      </c>
      <c r="F6" s="914">
        <f>'8 Výsledovka'!H14</f>
        <v>45372</v>
      </c>
      <c r="G6" s="204"/>
    </row>
    <row r="7" spans="1:7" ht="12.75">
      <c r="A7" s="204" t="s">
        <v>518</v>
      </c>
      <c r="B7" s="628">
        <f>-('8 Výsledovka'!D19+'8 Výsledovka'!D20)</f>
        <v>-208.7</v>
      </c>
      <c r="C7" s="596">
        <f>-('8 Výsledovka'!E19+'8 Výsledovka'!E20)</f>
        <v>-150.41503000000029</v>
      </c>
      <c r="D7" s="596">
        <f>-('8 Výsledovka'!F19+'8 Výsledovka'!F20)</f>
        <v>-213.71759370700022</v>
      </c>
      <c r="E7" s="596">
        <f>-('8 Výsledovka'!G19+'8 Výsledovka'!G20)</f>
        <v>-223.67713226718342</v>
      </c>
      <c r="F7" s="914">
        <f>-('8 Výsledovka'!H19+'8 Výsledovka'!H20)</f>
        <v>-213.27208558023386</v>
      </c>
      <c r="G7" s="204"/>
    </row>
    <row r="8" spans="1:7" ht="12.75">
      <c r="A8" s="204" t="s">
        <v>514</v>
      </c>
      <c r="B8" s="628">
        <f>-'8 Výsledovka'!D15</f>
        <v>0</v>
      </c>
      <c r="C8" s="596">
        <f>-'8 Výsledovka'!E15</f>
        <v>0</v>
      </c>
      <c r="D8" s="596">
        <f>-'8 Výsledovka'!F15</f>
        <v>0</v>
      </c>
      <c r="E8" s="596">
        <f>-'8 Výsledovka'!G15</f>
        <v>-15370</v>
      </c>
      <c r="F8" s="914">
        <f>-'8 Výsledovka'!H15</f>
        <v>0</v>
      </c>
      <c r="G8" s="204"/>
    </row>
    <row r="9" spans="1:7" ht="12.75">
      <c r="A9" s="204" t="s">
        <v>646</v>
      </c>
      <c r="B9" s="628">
        <f>+'8 Výsledovka'!D16</f>
        <v>0</v>
      </c>
      <c r="C9" s="596">
        <f>+'8 Výsledovka'!E16</f>
        <v>0</v>
      </c>
      <c r="D9" s="596">
        <f>+'8 Výsledovka'!F16</f>
        <v>0</v>
      </c>
      <c r="E9" s="596">
        <f>+'8 Výsledovka'!G16</f>
        <v>6656</v>
      </c>
      <c r="F9" s="914">
        <f>+'8 Výsledovka'!H16</f>
        <v>0</v>
      </c>
      <c r="G9" s="204"/>
    </row>
    <row r="10" spans="1:7" ht="12.75">
      <c r="A10" s="204" t="s">
        <v>647</v>
      </c>
      <c r="B10" s="628"/>
      <c r="C10" s="596"/>
      <c r="D10" s="596"/>
      <c r="E10" s="596">
        <v>2000</v>
      </c>
      <c r="F10" s="914"/>
      <c r="G10" s="204"/>
    </row>
    <row r="11" spans="1:7" ht="12.75">
      <c r="A11" s="204" t="s">
        <v>516</v>
      </c>
      <c r="B11" s="628">
        <f>-'8 Výsledovka'!D25</f>
        <v>-6238</v>
      </c>
      <c r="C11" s="596">
        <f>-'8 Výsledovka'!E25</f>
        <v>-7320</v>
      </c>
      <c r="D11" s="596">
        <f>-'8 Výsledovka'!F25</f>
        <v>-2172</v>
      </c>
      <c r="E11" s="596">
        <f>-'8 Výsledovka'!G25</f>
        <v>-5262</v>
      </c>
      <c r="F11" s="914">
        <f>-'8 Výsledovka'!H25</f>
        <v>-4618</v>
      </c>
      <c r="G11" s="204"/>
    </row>
    <row r="12" spans="1:7" ht="12.75">
      <c r="A12" s="167" t="s">
        <v>517</v>
      </c>
      <c r="B12" s="179">
        <f>'8 Výsledovka'!D26</f>
        <v>5756</v>
      </c>
      <c r="C12" s="177">
        <f>'8 Výsledovka'!E26</f>
        <v>7456</v>
      </c>
      <c r="D12" s="177">
        <f>'8 Výsledovka'!F26</f>
        <v>7978</v>
      </c>
      <c r="E12" s="177">
        <f>'8 Výsledovka'!G26</f>
        <v>8230</v>
      </c>
      <c r="F12" s="180">
        <f>'8 Výsledovka'!H26</f>
        <v>2256</v>
      </c>
      <c r="G12" s="204"/>
    </row>
    <row r="13" spans="1:7" ht="12.75">
      <c r="A13" s="639" t="s">
        <v>524</v>
      </c>
      <c r="B13" s="877">
        <f>SUM(B5:B12)</f>
        <v>53942</v>
      </c>
      <c r="C13" s="878">
        <f>SUM(C5:C12)</f>
        <v>58859</v>
      </c>
      <c r="D13" s="878">
        <f>SUM(D5:D12)</f>
        <v>59457</v>
      </c>
      <c r="E13" s="878">
        <f>SUM(E5:E12)</f>
        <v>94119</v>
      </c>
      <c r="F13" s="879">
        <f>SUM(F5:F12)</f>
        <v>106798</v>
      </c>
      <c r="G13" s="204"/>
    </row>
    <row r="14" spans="1:7" ht="12.75">
      <c r="A14" s="1098" t="s">
        <v>509</v>
      </c>
      <c r="B14" s="1099">
        <f>'4 Vnější potenciál'!F12</f>
        <v>1.018</v>
      </c>
      <c r="C14" s="1100">
        <f>'4 Vnější potenciál'!$F$13</f>
        <v>1.001</v>
      </c>
      <c r="D14" s="1100">
        <f>'4 Vnější potenciál'!$F$14</f>
        <v>1.028</v>
      </c>
      <c r="E14" s="1100">
        <f>'4 Vnější potenciál'!$F$15</f>
        <v>1.019</v>
      </c>
      <c r="F14" s="1101">
        <f>'4 Vnější potenciál'!$F$16</f>
        <v>1.026</v>
      </c>
      <c r="G14" s="204"/>
    </row>
    <row r="15" spans="1:7" ht="12.75">
      <c r="A15" s="1102" t="s">
        <v>740</v>
      </c>
      <c r="B15" s="1103">
        <f>1/(C14*D14*E14*F14)</f>
        <v>0.9295040000797113</v>
      </c>
      <c r="C15" s="1104">
        <f>1/(D14*E14*F14)</f>
        <v>0.9304335040797909</v>
      </c>
      <c r="D15" s="1104">
        <f>1/(E14*F14)</f>
        <v>0.9564856421940251</v>
      </c>
      <c r="E15" s="1104">
        <f>1/F14</f>
        <v>0.9746588693957114</v>
      </c>
      <c r="F15" s="1105">
        <v>1</v>
      </c>
      <c r="G15" s="204"/>
    </row>
    <row r="16" spans="1:7" ht="12.75">
      <c r="A16" s="639" t="s">
        <v>510</v>
      </c>
      <c r="B16" s="877">
        <f>B13/B15</f>
        <v>58033.10152013773</v>
      </c>
      <c r="C16" s="878">
        <f>C13/C15</f>
        <v>63259.759823688</v>
      </c>
      <c r="D16" s="878">
        <f>D13/D15</f>
        <v>62161.936757999996</v>
      </c>
      <c r="E16" s="878">
        <f>E13/E15</f>
        <v>96566.09400000001</v>
      </c>
      <c r="F16" s="879">
        <f>F13/F15</f>
        <v>106798</v>
      </c>
      <c r="G16" s="584"/>
    </row>
    <row r="17" spans="1:7" ht="12.75">
      <c r="A17" s="167" t="s">
        <v>511</v>
      </c>
      <c r="B17" s="179">
        <v>1</v>
      </c>
      <c r="C17" s="177">
        <v>2</v>
      </c>
      <c r="D17" s="177">
        <v>3</v>
      </c>
      <c r="E17" s="177">
        <v>4</v>
      </c>
      <c r="F17" s="180">
        <v>5</v>
      </c>
      <c r="G17" s="1106">
        <f>SUM(B17:F17)</f>
        <v>15</v>
      </c>
    </row>
    <row r="18" spans="1:7" ht="13.5" thickBot="1">
      <c r="A18" s="94" t="s">
        <v>525</v>
      </c>
      <c r="B18" s="629">
        <f>B16*B17</f>
        <v>58033.10152013773</v>
      </c>
      <c r="C18" s="597">
        <f>C16*C17</f>
        <v>126519.519647376</v>
      </c>
      <c r="D18" s="597">
        <f>D16*D17</f>
        <v>186485.810274</v>
      </c>
      <c r="E18" s="597">
        <f>E16*E17</f>
        <v>386264.37600000005</v>
      </c>
      <c r="F18" s="1058">
        <f>F16*F17</f>
        <v>533990</v>
      </c>
      <c r="G18" s="275">
        <f>SUM(B18:F18)</f>
        <v>1291292.8074415138</v>
      </c>
    </row>
    <row r="19" spans="2:7" ht="12.75">
      <c r="B19" s="15"/>
      <c r="C19" s="15"/>
      <c r="D19" s="15"/>
      <c r="E19" s="15"/>
      <c r="F19" s="15"/>
      <c r="G19" s="15"/>
    </row>
    <row r="20" spans="1:7" ht="12.75">
      <c r="A20" s="981" t="s">
        <v>512</v>
      </c>
      <c r="B20" s="912">
        <f>G18/G17</f>
        <v>86086.18716276759</v>
      </c>
      <c r="C20" s="15"/>
      <c r="D20" s="15"/>
      <c r="E20" s="15"/>
      <c r="F20" s="15"/>
      <c r="G20" s="15"/>
    </row>
    <row r="21" spans="1:6" ht="12.75">
      <c r="A21" s="984" t="s">
        <v>513</v>
      </c>
      <c r="B21" s="177">
        <v>52500</v>
      </c>
      <c r="C21" s="15"/>
      <c r="D21" s="15"/>
      <c r="E21" s="15"/>
      <c r="F21" s="15"/>
    </row>
    <row r="22" spans="1:6" ht="12.75">
      <c r="A22" s="1030" t="s">
        <v>519</v>
      </c>
      <c r="B22" s="878">
        <f>B20-B21</f>
        <v>33586.18716276759</v>
      </c>
      <c r="C22" s="15"/>
      <c r="D22" s="15"/>
      <c r="E22" s="15"/>
      <c r="F22" s="15"/>
    </row>
    <row r="23" spans="1:6" ht="12.75">
      <c r="A23" s="983" t="s">
        <v>520</v>
      </c>
      <c r="B23" s="596">
        <f>B20-F6</f>
        <v>40714.18716276759</v>
      </c>
      <c r="C23" s="1422"/>
      <c r="D23" s="15"/>
      <c r="E23" s="15"/>
      <c r="F23" s="15"/>
    </row>
    <row r="24" spans="1:6" ht="12.75">
      <c r="A24" s="984" t="str">
        <f>"Daň ("&amp;FIXED('18 Plán'!F7*100,0)&amp;" %)"</f>
        <v>Daň (19 %)</v>
      </c>
      <c r="B24" s="177">
        <f>B23*'18 Plán'!F7</f>
        <v>7735.695560925841</v>
      </c>
      <c r="C24" s="1422"/>
      <c r="D24" s="15"/>
      <c r="E24" s="15"/>
      <c r="F24" s="15"/>
    </row>
    <row r="25" spans="1:6" ht="12.75">
      <c r="A25" s="1045" t="s">
        <v>521</v>
      </c>
      <c r="B25" s="1107">
        <f>B22-B24</f>
        <v>25850.491601841746</v>
      </c>
      <c r="C25" s="1422"/>
      <c r="D25" s="15"/>
      <c r="E25" s="15"/>
      <c r="F25" s="15"/>
    </row>
    <row r="26" spans="2:6" ht="12.75">
      <c r="B26" s="15"/>
      <c r="C26" s="1422"/>
      <c r="D26" s="15"/>
      <c r="E26" s="15"/>
      <c r="F26" s="15"/>
    </row>
    <row r="27" spans="1:6" ht="12.75">
      <c r="A27" s="981" t="s">
        <v>523</v>
      </c>
      <c r="B27" s="1108">
        <v>0.02</v>
      </c>
      <c r="C27" s="1422"/>
      <c r="D27" s="15"/>
      <c r="E27" s="15"/>
      <c r="F27" s="15"/>
    </row>
    <row r="28" spans="1:6" ht="14.25">
      <c r="A28" s="1028" t="s">
        <v>522</v>
      </c>
      <c r="B28" s="1109">
        <f>'19 nVK - CAPM'!B21-'24 KČV'!B27</f>
        <v>0.105</v>
      </c>
      <c r="C28" s="1422"/>
      <c r="D28" s="15"/>
      <c r="E28" s="15"/>
      <c r="F28" s="15"/>
    </row>
    <row r="29" spans="2:6" ht="12.75">
      <c r="B29" s="15"/>
      <c r="C29" s="1422"/>
      <c r="D29" s="15"/>
      <c r="E29" s="15"/>
      <c r="F29" s="15"/>
    </row>
    <row r="30" spans="1:6" ht="12.75">
      <c r="A30" s="1110" t="s">
        <v>515</v>
      </c>
      <c r="B30" s="884">
        <f>B25/B28</f>
        <v>246195.15811277853</v>
      </c>
      <c r="C30" s="1422"/>
      <c r="D30" s="15"/>
      <c r="E30" s="15"/>
      <c r="F30" s="15"/>
    </row>
    <row r="31" spans="1:6" ht="12.75">
      <c r="A31" s="984" t="s">
        <v>314</v>
      </c>
      <c r="B31" s="177">
        <f>'22 DCF'!C56</f>
        <v>10167.339311731754</v>
      </c>
      <c r="C31" s="1422"/>
      <c r="D31" s="15"/>
      <c r="E31" s="15"/>
      <c r="F31" s="15"/>
    </row>
    <row r="32" spans="1:6" ht="12.75">
      <c r="A32" s="1045" t="s">
        <v>610</v>
      </c>
      <c r="B32" s="1107">
        <f>B30+B31</f>
        <v>256362.49742451028</v>
      </c>
      <c r="C32" s="1422"/>
      <c r="D32" s="15"/>
      <c r="E32" s="15"/>
      <c r="F32" s="15"/>
    </row>
    <row r="33" ht="12.75">
      <c r="C33" s="5"/>
    </row>
    <row r="34" ht="12.75">
      <c r="C34" s="5"/>
    </row>
  </sheetData>
  <sheetProtection/>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legacyDrawing r:id="rId2"/>
</worksheet>
</file>

<file path=xl/worksheets/sheet2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
    </sheetView>
  </sheetViews>
  <sheetFormatPr defaultColWidth="9.00390625" defaultRowHeight="12.75"/>
  <cols>
    <col min="1" max="1" width="37.00390625" style="0" customWidth="1"/>
    <col min="2" max="2" width="16.625" style="0" customWidth="1"/>
    <col min="3" max="3" width="16.25390625" style="0" customWidth="1"/>
    <col min="4" max="4" width="12.25390625" style="0" customWidth="1"/>
    <col min="5" max="5" width="12.875" style="0" customWidth="1"/>
  </cols>
  <sheetData>
    <row r="1" spans="1:5" ht="21" customHeight="1">
      <c r="A1" s="695" t="s">
        <v>590</v>
      </c>
      <c r="E1" s="1167" t="s">
        <v>672</v>
      </c>
    </row>
    <row r="2" ht="9.75" customHeight="1"/>
    <row r="3" spans="1:4" ht="13.5" customHeight="1">
      <c r="A3" s="1111" t="s">
        <v>796</v>
      </c>
      <c r="B3" s="1112"/>
      <c r="C3" s="1111"/>
      <c r="D3" s="1113">
        <f>'7 Rozvaha'!G13</f>
        <v>7232</v>
      </c>
    </row>
    <row r="5" ht="13.5" thickBot="1">
      <c r="A5" s="559" t="s">
        <v>277</v>
      </c>
    </row>
    <row r="6" spans="1:4" ht="26.25" thickBot="1">
      <c r="A6" s="247" t="s">
        <v>270</v>
      </c>
      <c r="B6" s="605" t="s">
        <v>271</v>
      </c>
      <c r="C6" s="611" t="s">
        <v>272</v>
      </c>
      <c r="D6" s="608" t="s">
        <v>273</v>
      </c>
    </row>
    <row r="7" spans="2:4" ht="12.75">
      <c r="B7" s="250">
        <v>39172</v>
      </c>
      <c r="C7" s="252">
        <v>3</v>
      </c>
      <c r="D7" s="248">
        <v>400</v>
      </c>
    </row>
    <row r="8" spans="2:4" ht="12.75">
      <c r="B8" s="250">
        <v>39263</v>
      </c>
      <c r="C8" s="252">
        <v>6</v>
      </c>
      <c r="D8" s="248">
        <v>400</v>
      </c>
    </row>
    <row r="9" spans="2:4" ht="12.75">
      <c r="B9" s="250">
        <v>39355</v>
      </c>
      <c r="C9" s="252">
        <v>9</v>
      </c>
      <c r="D9" s="248">
        <v>400</v>
      </c>
    </row>
    <row r="10" spans="2:4" ht="12.75">
      <c r="B10" s="254">
        <v>39447</v>
      </c>
      <c r="C10" s="163">
        <v>12</v>
      </c>
      <c r="D10" s="255">
        <v>400</v>
      </c>
    </row>
    <row r="11" spans="2:4" ht="12.75">
      <c r="B11" s="250">
        <v>39538</v>
      </c>
      <c r="C11" s="252">
        <v>15</v>
      </c>
      <c r="D11" s="248">
        <v>400</v>
      </c>
    </row>
    <row r="12" spans="2:4" ht="12.75">
      <c r="B12" s="250">
        <v>39629</v>
      </c>
      <c r="C12" s="252">
        <v>18</v>
      </c>
      <c r="D12" s="248">
        <v>400</v>
      </c>
    </row>
    <row r="13" spans="2:4" ht="12.75">
      <c r="B13" s="250">
        <v>39721</v>
      </c>
      <c r="C13" s="252">
        <v>21</v>
      </c>
      <c r="D13" s="248">
        <v>400</v>
      </c>
    </row>
    <row r="14" spans="2:4" ht="13.5" thickBot="1">
      <c r="B14" s="250">
        <v>39813</v>
      </c>
      <c r="C14" s="252">
        <v>24</v>
      </c>
      <c r="D14" s="248">
        <v>400</v>
      </c>
    </row>
    <row r="15" spans="2:4" ht="13.5" thickBot="1">
      <c r="B15" s="251" t="s">
        <v>155</v>
      </c>
      <c r="C15" s="253"/>
      <c r="D15" s="249">
        <f>SUM(D7:D14)</f>
        <v>3200</v>
      </c>
    </row>
    <row r="17" ht="13.5" thickBot="1">
      <c r="A17" s="1" t="s">
        <v>274</v>
      </c>
    </row>
    <row r="18" spans="1:4" ht="12.75">
      <c r="A18" s="258" t="s">
        <v>275</v>
      </c>
      <c r="B18" s="259"/>
      <c r="C18" s="259"/>
      <c r="D18" s="260">
        <v>5000</v>
      </c>
    </row>
    <row r="19" spans="1:4" ht="13.5" thickBot="1">
      <c r="A19" s="256" t="s">
        <v>276</v>
      </c>
      <c r="B19" s="16"/>
      <c r="C19" s="16"/>
      <c r="D19" s="257">
        <f>MIN(D18,D3-D15)</f>
        <v>4032</v>
      </c>
    </row>
    <row r="21" ht="12.75">
      <c r="A21" s="559" t="s">
        <v>278</v>
      </c>
    </row>
    <row r="22" spans="1:4" ht="12.75">
      <c r="A22" s="110" t="s">
        <v>287</v>
      </c>
      <c r="B22" s="323"/>
      <c r="C22" s="323"/>
      <c r="D22" s="98">
        <v>10.5</v>
      </c>
    </row>
    <row r="23" spans="1:4" ht="12.75">
      <c r="A23" s="981" t="s">
        <v>279</v>
      </c>
      <c r="B23" s="982"/>
      <c r="C23" s="982"/>
      <c r="D23" s="326"/>
    </row>
    <row r="24" spans="1:4" ht="12.75">
      <c r="A24" s="983"/>
      <c r="B24" s="31" t="s">
        <v>863</v>
      </c>
      <c r="C24" s="31">
        <f>15-1-1-1.5-1-0+0-1-0</f>
        <v>9.5</v>
      </c>
      <c r="D24" s="329"/>
    </row>
    <row r="25" spans="1:4" ht="12.75">
      <c r="A25" s="983"/>
      <c r="B25" s="31" t="s">
        <v>797</v>
      </c>
      <c r="C25" s="31">
        <f>15-0.5-0.5-0.7-0.5-0+0-0.5-0</f>
        <v>12.3</v>
      </c>
      <c r="D25" s="329"/>
    </row>
    <row r="26" spans="1:4" ht="12.75">
      <c r="A26" s="984"/>
      <c r="B26" s="330" t="s">
        <v>280</v>
      </c>
      <c r="C26" s="330">
        <v>1</v>
      </c>
      <c r="D26" s="863"/>
    </row>
    <row r="27" spans="1:4" ht="12.75">
      <c r="A27" s="1030" t="s">
        <v>270</v>
      </c>
      <c r="B27" s="31"/>
      <c r="C27" s="31"/>
      <c r="D27" s="329"/>
    </row>
    <row r="28" spans="1:4" ht="12.75">
      <c r="A28" s="983" t="s">
        <v>281</v>
      </c>
      <c r="B28" s="31"/>
      <c r="C28" s="31"/>
      <c r="D28" s="329">
        <f>C24*C26</f>
        <v>9.5</v>
      </c>
    </row>
    <row r="29" spans="1:4" ht="12.75">
      <c r="A29" s="1114" t="s">
        <v>282</v>
      </c>
      <c r="B29" s="1115"/>
      <c r="C29" s="1115"/>
      <c r="D29" s="1390">
        <f>D22+D28</f>
        <v>20</v>
      </c>
    </row>
    <row r="30" spans="1:4" ht="12.75">
      <c r="A30" s="1030" t="s">
        <v>283</v>
      </c>
      <c r="B30" s="31"/>
      <c r="C30" s="31"/>
      <c r="D30" s="329"/>
    </row>
    <row r="31" spans="1:4" ht="12.75">
      <c r="A31" s="983" t="s">
        <v>281</v>
      </c>
      <c r="B31" s="31"/>
      <c r="C31" s="31"/>
      <c r="D31" s="329">
        <f>C25*C26</f>
        <v>12.3</v>
      </c>
    </row>
    <row r="32" spans="1:4" ht="12.75">
      <c r="A32" s="1116" t="s">
        <v>282</v>
      </c>
      <c r="B32" s="1117"/>
      <c r="C32" s="1117"/>
      <c r="D32" s="1118">
        <f>D22+D31</f>
        <v>22.8</v>
      </c>
    </row>
    <row r="34" ht="13.5" thickBot="1">
      <c r="A34" s="559" t="s">
        <v>284</v>
      </c>
    </row>
    <row r="35" spans="1:5" ht="26.25" thickBot="1">
      <c r="A35" s="261" t="s">
        <v>270</v>
      </c>
      <c r="B35" s="605" t="s">
        <v>271</v>
      </c>
      <c r="C35" s="611" t="s">
        <v>272</v>
      </c>
      <c r="D35" s="608" t="s">
        <v>273</v>
      </c>
      <c r="E35" s="643" t="s">
        <v>285</v>
      </c>
    </row>
    <row r="36" spans="2:5" ht="12.75">
      <c r="B36" s="250">
        <f>B7</f>
        <v>39172</v>
      </c>
      <c r="C36" s="252">
        <v>3</v>
      </c>
      <c r="D36" s="248">
        <v>400</v>
      </c>
      <c r="E36" s="248">
        <f>D36/(1+$D$29/100)^(C36/12)</f>
        <v>382.1771168817467</v>
      </c>
    </row>
    <row r="37" spans="2:5" ht="12.75">
      <c r="B37" s="250">
        <f aca="true" t="shared" si="0" ref="B37:B43">B8</f>
        <v>39263</v>
      </c>
      <c r="C37" s="252">
        <v>6</v>
      </c>
      <c r="D37" s="248">
        <v>400</v>
      </c>
      <c r="E37" s="248">
        <f aca="true" t="shared" si="1" ref="E37:E43">D37/(1+$D$29/100)^(C37/12)</f>
        <v>365.14837167011075</v>
      </c>
    </row>
    <row r="38" spans="2:5" ht="12.75">
      <c r="B38" s="250">
        <f t="shared" si="0"/>
        <v>39355</v>
      </c>
      <c r="C38" s="252">
        <v>9</v>
      </c>
      <c r="D38" s="248">
        <v>400</v>
      </c>
      <c r="E38" s="248">
        <f t="shared" si="1"/>
        <v>348.87837979736855</v>
      </c>
    </row>
    <row r="39" spans="2:5" ht="12.75">
      <c r="B39" s="254">
        <f t="shared" si="0"/>
        <v>39447</v>
      </c>
      <c r="C39" s="163">
        <v>12</v>
      </c>
      <c r="D39" s="255">
        <v>400</v>
      </c>
      <c r="E39" s="255">
        <f t="shared" si="1"/>
        <v>333.33333333333337</v>
      </c>
    </row>
    <row r="40" spans="2:5" ht="12.75">
      <c r="B40" s="250">
        <f t="shared" si="0"/>
        <v>39538</v>
      </c>
      <c r="C40" s="252">
        <v>15</v>
      </c>
      <c r="D40" s="248">
        <v>400</v>
      </c>
      <c r="E40" s="248">
        <f t="shared" si="1"/>
        <v>318.48093073478896</v>
      </c>
    </row>
    <row r="41" spans="2:5" ht="12.75">
      <c r="B41" s="250">
        <f t="shared" si="0"/>
        <v>39629</v>
      </c>
      <c r="C41" s="252">
        <v>18</v>
      </c>
      <c r="D41" s="248">
        <v>400</v>
      </c>
      <c r="E41" s="248">
        <f t="shared" si="1"/>
        <v>304.2903097250923</v>
      </c>
    </row>
    <row r="42" spans="2:5" ht="12.75">
      <c r="B42" s="250">
        <f t="shared" si="0"/>
        <v>39721</v>
      </c>
      <c r="C42" s="252">
        <v>21</v>
      </c>
      <c r="D42" s="248">
        <v>400</v>
      </c>
      <c r="E42" s="248">
        <f t="shared" si="1"/>
        <v>290.7319831644738</v>
      </c>
    </row>
    <row r="43" spans="2:5" ht="13.5" thickBot="1">
      <c r="B43" s="250">
        <f t="shared" si="0"/>
        <v>39813</v>
      </c>
      <c r="C43" s="252">
        <v>24</v>
      </c>
      <c r="D43" s="248">
        <v>400</v>
      </c>
      <c r="E43" s="248">
        <f t="shared" si="1"/>
        <v>277.77777777777777</v>
      </c>
    </row>
    <row r="44" spans="2:5" ht="13.5" thickBot="1">
      <c r="B44" s="251" t="s">
        <v>155</v>
      </c>
      <c r="C44" s="253"/>
      <c r="D44" s="249">
        <f>SUM(D36:D43)</f>
        <v>3200</v>
      </c>
      <c r="E44" s="1119">
        <f>SUM(E36:E43)</f>
        <v>2620.818203084692</v>
      </c>
    </row>
    <row r="46" ht="12.75">
      <c r="A46" s="1" t="s">
        <v>283</v>
      </c>
    </row>
    <row r="47" spans="1:5" ht="13.5" thickBot="1">
      <c r="A47" t="s">
        <v>288</v>
      </c>
      <c r="E47">
        <f>C43+12</f>
        <v>36</v>
      </c>
    </row>
    <row r="48" ht="13.5" thickBot="1">
      <c r="E48" s="1120">
        <f>D19/(1+D32/100)^(E47/12)</f>
        <v>2177.335848490327</v>
      </c>
    </row>
    <row r="49" ht="13.5" thickBot="1"/>
    <row r="50" spans="1:5" ht="13.5" thickBot="1">
      <c r="A50" s="559" t="s">
        <v>619</v>
      </c>
      <c r="E50" s="262">
        <f>E44+E48</f>
        <v>4798.1540515750185</v>
      </c>
    </row>
  </sheetData>
  <sheetProtection/>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legacyDrawing r:id="rId2"/>
</worksheet>
</file>

<file path=xl/worksheets/sheet2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9.00390625" defaultRowHeight="12.75"/>
  <cols>
    <col min="1" max="1" width="50.375" style="0" customWidth="1"/>
    <col min="2" max="2" width="9.625" style="0" bestFit="1" customWidth="1"/>
    <col min="4" max="4" width="12.375" style="0" customWidth="1"/>
    <col min="6" max="6" width="4.75390625" style="0" customWidth="1"/>
  </cols>
  <sheetData>
    <row r="1" spans="1:6" ht="21" customHeight="1">
      <c r="A1" s="695" t="s">
        <v>591</v>
      </c>
      <c r="E1" s="1451" t="s">
        <v>672</v>
      </c>
      <c r="F1" s="1451"/>
    </row>
    <row r="3" ht="12.75">
      <c r="A3" s="559" t="s">
        <v>621</v>
      </c>
    </row>
    <row r="5" spans="1:4" ht="12.75">
      <c r="A5" s="96" t="s">
        <v>741</v>
      </c>
      <c r="B5" s="174">
        <f>'7 Rozvaha'!G12</f>
        <v>1274</v>
      </c>
      <c r="C5" s="98" t="s">
        <v>286</v>
      </c>
      <c r="D5" s="5"/>
    </row>
    <row r="6" ht="12.75">
      <c r="D6" s="5"/>
    </row>
    <row r="7" spans="1:4" ht="12.75">
      <c r="A7" s="931" t="s">
        <v>289</v>
      </c>
      <c r="B7" s="981">
        <v>7</v>
      </c>
      <c r="C7" s="326"/>
      <c r="D7" s="5"/>
    </row>
    <row r="8" spans="1:4" ht="12.75">
      <c r="A8" s="252" t="s">
        <v>496</v>
      </c>
      <c r="B8" s="983">
        <f>'8 Výsledovka'!H19</f>
        <v>63.7</v>
      </c>
      <c r="C8" s="329" t="s">
        <v>286</v>
      </c>
      <c r="D8" s="5"/>
    </row>
    <row r="9" spans="1:4" ht="12.75">
      <c r="A9" s="252" t="s">
        <v>815</v>
      </c>
      <c r="B9" s="1121">
        <f>B8*(1-B11)</f>
        <v>50.96000000000001</v>
      </c>
      <c r="C9" s="329" t="s">
        <v>286</v>
      </c>
      <c r="D9" s="5"/>
    </row>
    <row r="10" spans="1:4" ht="12.75">
      <c r="A10" s="163" t="s">
        <v>620</v>
      </c>
      <c r="B10" s="1122">
        <v>0.07</v>
      </c>
      <c r="C10" s="863"/>
      <c r="D10" s="5"/>
    </row>
    <row r="11" spans="1:4" ht="12.75">
      <c r="A11" s="1334" t="s">
        <v>816</v>
      </c>
      <c r="B11" s="1412">
        <v>0.2</v>
      </c>
      <c r="C11" s="31"/>
      <c r="D11" s="5"/>
    </row>
    <row r="12" ht="12.75">
      <c r="D12" s="5"/>
    </row>
    <row r="13" spans="1:4" ht="12.75">
      <c r="A13" s="559" t="s">
        <v>290</v>
      </c>
      <c r="D13" s="5"/>
    </row>
    <row r="14" spans="1:4" ht="12.75">
      <c r="A14" s="559"/>
      <c r="D14" s="5"/>
    </row>
    <row r="15" spans="1:4" ht="12.75">
      <c r="A15" s="981" t="s">
        <v>622</v>
      </c>
      <c r="B15" s="1420">
        <f>(1-1/(1+B10)^B7)/B10</f>
        <v>5.389289401648698</v>
      </c>
      <c r="C15" s="326"/>
      <c r="D15" s="5"/>
    </row>
    <row r="16" spans="1:4" ht="12.75">
      <c r="A16" s="983" t="s">
        <v>623</v>
      </c>
      <c r="B16" s="594">
        <f>B15*B9</f>
        <v>274.6381879080177</v>
      </c>
      <c r="C16" s="329" t="s">
        <v>286</v>
      </c>
      <c r="D16" s="5"/>
    </row>
    <row r="17" spans="1:4" ht="12.75">
      <c r="A17" s="984" t="s">
        <v>624</v>
      </c>
      <c r="B17" s="178">
        <f>B5/(1+B10)^B7</f>
        <v>793.383171160969</v>
      </c>
      <c r="C17" s="863" t="s">
        <v>286</v>
      </c>
      <c r="D17" s="5"/>
    </row>
    <row r="18" spans="1:4" ht="12.75">
      <c r="A18" s="1045" t="s">
        <v>625</v>
      </c>
      <c r="B18" s="1123">
        <f>B16+B17</f>
        <v>1068.0213590689868</v>
      </c>
      <c r="C18" s="1078" t="s">
        <v>286</v>
      </c>
      <c r="D18" s="5"/>
    </row>
    <row r="19" ht="12.75">
      <c r="D19" s="5"/>
    </row>
    <row r="20" spans="2:4" ht="12.75">
      <c r="B20" s="15"/>
      <c r="D20" s="5"/>
    </row>
    <row r="21" spans="2:4" ht="12.75">
      <c r="B21" s="28"/>
      <c r="D21" s="5"/>
    </row>
    <row r="22" ht="12.75">
      <c r="B22" s="28"/>
    </row>
    <row r="23" ht="12.75">
      <c r="B23" s="28"/>
    </row>
    <row r="24" ht="12.75">
      <c r="B24" s="28"/>
    </row>
    <row r="25" ht="12.75">
      <c r="B25" s="28"/>
    </row>
    <row r="26" ht="12.75">
      <c r="B26" s="28"/>
    </row>
    <row r="27" ht="12.75">
      <c r="B27" s="28"/>
    </row>
    <row r="28" ht="12.75">
      <c r="B28" s="78"/>
    </row>
  </sheetData>
  <sheetProtection/>
  <mergeCells count="1">
    <mergeCell ref="E1:F1"/>
  </mergeCells>
  <hyperlinks>
    <hyperlink ref="E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worksheet>
</file>

<file path=xl/worksheets/sheet28.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2.75"/>
  <cols>
    <col min="1" max="1" width="11.875" style="0" customWidth="1"/>
    <col min="2" max="3" width="13.625" style="0" customWidth="1"/>
    <col min="4" max="4" width="9.875" style="0" customWidth="1"/>
    <col min="5" max="5" width="15.25390625" style="0" customWidth="1"/>
  </cols>
  <sheetData>
    <row r="1" spans="1:8" ht="18" customHeight="1">
      <c r="A1" s="965" t="s">
        <v>656</v>
      </c>
      <c r="G1" s="1166"/>
      <c r="H1" s="1167" t="s">
        <v>672</v>
      </c>
    </row>
    <row r="2" spans="1:5" ht="11.25" customHeight="1">
      <c r="A2" s="965"/>
      <c r="E2" s="5"/>
    </row>
    <row r="3" spans="1:5" ht="18" customHeight="1">
      <c r="A3" s="981" t="s">
        <v>657</v>
      </c>
      <c r="B3" s="326"/>
      <c r="C3" s="1027">
        <f>'22 DCF'!C57</f>
        <v>544662</v>
      </c>
      <c r="D3" s="326" t="s">
        <v>310</v>
      </c>
      <c r="E3" s="5"/>
    </row>
    <row r="4" spans="1:5" ht="18" customHeight="1">
      <c r="A4" s="983" t="s">
        <v>658</v>
      </c>
      <c r="B4" s="329"/>
      <c r="C4" s="85">
        <f>'23 EVA'!C33</f>
        <v>544662.1459481673</v>
      </c>
      <c r="D4" s="329" t="s">
        <v>310</v>
      </c>
      <c r="E4" s="5"/>
    </row>
    <row r="5" spans="1:5" ht="18" customHeight="1">
      <c r="A5" s="984" t="s">
        <v>665</v>
      </c>
      <c r="B5" s="863"/>
      <c r="C5" s="563">
        <f>'24 KČV'!B32</f>
        <v>256362.49742451028</v>
      </c>
      <c r="D5" s="863" t="s">
        <v>310</v>
      </c>
      <c r="E5" s="5"/>
    </row>
    <row r="6" spans="3:5" ht="18" customHeight="1">
      <c r="C6" s="15"/>
      <c r="E6" s="5"/>
    </row>
    <row r="7" spans="1:10" ht="18" customHeight="1">
      <c r="A7" s="965" t="s">
        <v>659</v>
      </c>
      <c r="J7" s="15"/>
    </row>
    <row r="8" ht="12.75" customHeight="1">
      <c r="A8" s="965"/>
    </row>
    <row r="9" spans="1:4" ht="18" customHeight="1">
      <c r="A9" s="981" t="s">
        <v>660</v>
      </c>
      <c r="B9" s="326"/>
      <c r="C9" s="1027">
        <f>'7 Rozvaha'!G27</f>
        <v>326502.26390108775</v>
      </c>
      <c r="D9" s="326" t="s">
        <v>310</v>
      </c>
    </row>
    <row r="10" spans="1:13" ht="18" customHeight="1">
      <c r="A10" s="983" t="s">
        <v>661</v>
      </c>
      <c r="B10" s="329"/>
      <c r="C10" s="85">
        <v>310000</v>
      </c>
      <c r="D10" s="329" t="s">
        <v>310</v>
      </c>
      <c r="M10" s="1407"/>
    </row>
    <row r="11" spans="1:13" ht="18" customHeight="1">
      <c r="A11" s="984" t="s">
        <v>662</v>
      </c>
      <c r="B11" s="863"/>
      <c r="C11" s="563">
        <v>90500</v>
      </c>
      <c r="D11" s="863" t="s">
        <v>310</v>
      </c>
      <c r="M11" s="1407"/>
    </row>
    <row r="12" ht="12.75">
      <c r="M12" s="1407"/>
    </row>
    <row r="13" ht="12.75">
      <c r="M13" s="1407"/>
    </row>
    <row r="14" ht="15.75">
      <c r="A14" s="965" t="s">
        <v>617</v>
      </c>
    </row>
    <row r="16" ht="12.75">
      <c r="A16" s="559" t="s">
        <v>529</v>
      </c>
    </row>
    <row r="17" ht="12.75">
      <c r="A17" s="559"/>
    </row>
    <row r="18" spans="1:7" ht="25.5">
      <c r="A18" s="1034"/>
      <c r="B18" s="1405" t="s">
        <v>526</v>
      </c>
      <c r="C18" s="1393" t="s">
        <v>807</v>
      </c>
      <c r="E18" s="1" t="s">
        <v>618</v>
      </c>
      <c r="G18" s="5"/>
    </row>
    <row r="19" spans="1:7" ht="15" customHeight="1">
      <c r="A19" s="931" t="s">
        <v>501</v>
      </c>
      <c r="B19" s="1406">
        <f>F20/'18 Plán'!B37</f>
        <v>11.181763769523254</v>
      </c>
      <c r="C19" s="1406">
        <v>14.23</v>
      </c>
      <c r="E19" s="981" t="s">
        <v>530</v>
      </c>
      <c r="F19" s="912">
        <f>'22 DCF'!C57+'22 DCF'!C54</f>
        <v>714552.6</v>
      </c>
      <c r="G19" s="5"/>
    </row>
    <row r="20" spans="1:7" ht="15" customHeight="1">
      <c r="A20" s="163" t="s">
        <v>527</v>
      </c>
      <c r="B20" s="809">
        <f>F20/'18 Plán'!B124</f>
        <v>1.6681722003771546</v>
      </c>
      <c r="C20" s="809">
        <v>1.47</v>
      </c>
      <c r="E20" s="984" t="s">
        <v>531</v>
      </c>
      <c r="F20" s="177">
        <f>'22 DCF'!C57</f>
        <v>544662</v>
      </c>
      <c r="G20" s="5"/>
    </row>
    <row r="21" spans="1:3" ht="15" customHeight="1">
      <c r="A21" s="252" t="s">
        <v>528</v>
      </c>
      <c r="B21" s="804">
        <f>(F19)/'18 Plán'!B11</f>
        <v>0.3477212672959739</v>
      </c>
      <c r="C21" s="804">
        <v>0.52</v>
      </c>
    </row>
    <row r="22" spans="1:5" ht="15" customHeight="1">
      <c r="A22" s="163" t="s">
        <v>502</v>
      </c>
      <c r="B22" s="809">
        <f>(F19)/('18 Plán'!B35+'18 Plán'!B24)</f>
        <v>9.586513968200821</v>
      </c>
      <c r="C22" s="809">
        <v>11.06</v>
      </c>
      <c r="E22" s="1161" t="s">
        <v>666</v>
      </c>
    </row>
    <row r="23" spans="2:5" ht="15" customHeight="1">
      <c r="B23" s="5"/>
      <c r="E23" s="1162" t="s">
        <v>667</v>
      </c>
    </row>
    <row r="24" ht="15" customHeight="1">
      <c r="E24" s="1161" t="s">
        <v>668</v>
      </c>
    </row>
    <row r="25" spans="1:5" ht="15" customHeight="1">
      <c r="A25" s="31"/>
      <c r="B25" s="89"/>
      <c r="C25" s="89"/>
      <c r="E25" s="1162" t="s">
        <v>669</v>
      </c>
    </row>
    <row r="26" ht="18" customHeight="1"/>
    <row r="27" ht="15.75">
      <c r="A27" s="965" t="s">
        <v>742</v>
      </c>
    </row>
    <row r="28" ht="13.5" thickBot="1">
      <c r="E28" s="5"/>
    </row>
    <row r="29" spans="1:5" ht="19.5" customHeight="1" thickBot="1">
      <c r="A29" s="1157" t="s">
        <v>664</v>
      </c>
      <c r="B29" s="1158"/>
      <c r="C29" s="1159">
        <f>ROUND(C3,-3)</f>
        <v>545000</v>
      </c>
      <c r="D29" s="1160" t="s">
        <v>310</v>
      </c>
      <c r="E29" s="5"/>
    </row>
    <row r="30" ht="12.75">
      <c r="E30" s="5"/>
    </row>
    <row r="31" spans="1:5" ht="21.75" customHeight="1">
      <c r="A31" s="110" t="s">
        <v>820</v>
      </c>
      <c r="B31" s="98"/>
      <c r="C31" s="1156">
        <f>ROUND(C29-C5,-3)</f>
        <v>289000</v>
      </c>
      <c r="D31" s="1155" t="s">
        <v>310</v>
      </c>
      <c r="E31" s="5"/>
    </row>
    <row r="32" spans="1:5" ht="21.75" customHeight="1">
      <c r="A32" s="323"/>
      <c r="B32" s="323"/>
      <c r="C32" s="111"/>
      <c r="D32" s="1418"/>
      <c r="E32" s="5"/>
    </row>
    <row r="33" spans="1:5" ht="21.75" customHeight="1">
      <c r="A33" s="1154" t="s">
        <v>663</v>
      </c>
      <c r="B33" s="1155"/>
      <c r="C33" s="1156">
        <f>C29-C10</f>
        <v>235000</v>
      </c>
      <c r="D33" s="1155" t="s">
        <v>310</v>
      </c>
      <c r="E33" s="5"/>
    </row>
    <row r="34" ht="12.75">
      <c r="E34" s="5"/>
    </row>
    <row r="35" ht="12.75">
      <c r="E35" s="5"/>
    </row>
  </sheetData>
  <sheetProtection/>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2.75"/>
  <cols>
    <col min="1" max="1" width="30.75390625" style="0" customWidth="1"/>
    <col min="2" max="2" width="11.75390625" style="0" customWidth="1"/>
    <col min="9" max="9" width="10.125" style="0" customWidth="1"/>
    <col min="10" max="10" width="1.00390625" style="0" customWidth="1"/>
  </cols>
  <sheetData>
    <row r="1" spans="1:9" s="582" customFormat="1" ht="21" customHeight="1">
      <c r="A1" s="581" t="s">
        <v>535</v>
      </c>
      <c r="I1" s="1167" t="s">
        <v>672</v>
      </c>
    </row>
    <row r="2" s="582" customFormat="1" ht="21" customHeight="1">
      <c r="A2" s="583" t="s">
        <v>714</v>
      </c>
    </row>
    <row r="3" spans="1:4" ht="12.75">
      <c r="A3" s="1254"/>
      <c r="B3" s="1255" t="s">
        <v>711</v>
      </c>
      <c r="C3" s="1254"/>
      <c r="D3" s="1254" t="s">
        <v>710</v>
      </c>
    </row>
    <row r="4" spans="1:4" ht="38.25">
      <c r="A4" s="1256" t="s">
        <v>143</v>
      </c>
      <c r="B4" s="1257" t="s">
        <v>708</v>
      </c>
      <c r="C4" s="1257" t="s">
        <v>702</v>
      </c>
      <c r="D4" s="1256" t="s">
        <v>715</v>
      </c>
    </row>
    <row r="5" spans="1:4" ht="12.75">
      <c r="A5" s="1251">
        <f>'4 Vnější potenciál'!A5</f>
        <v>1995</v>
      </c>
      <c r="B5" s="603">
        <f>'4 Vnější potenciál'!J5</f>
        <v>205220.527535</v>
      </c>
      <c r="C5" s="912">
        <f>'4 Vnější potenciál'!B5</f>
        <v>1466500</v>
      </c>
      <c r="D5" s="1262">
        <f>LN(C5)</f>
        <v>14.198389167399643</v>
      </c>
    </row>
    <row r="6" spans="1:4" ht="12.75">
      <c r="A6" s="1251">
        <f>'4 Vnější potenciál'!A6</f>
        <v>1996</v>
      </c>
      <c r="B6" s="603">
        <f>'4 Vnější potenciál'!J6</f>
        <v>232796.886504</v>
      </c>
      <c r="C6" s="596">
        <f>'4 Vnější potenciál'!B6</f>
        <v>1683300</v>
      </c>
      <c r="D6" s="1263">
        <f aca="true" t="shared" si="0" ref="D6:D16">LN(C6)</f>
        <v>14.336266710407173</v>
      </c>
    </row>
    <row r="7" spans="1:4" ht="12.75">
      <c r="A7" s="1251">
        <f>'4 Vnější potenciál'!A7</f>
        <v>1997</v>
      </c>
      <c r="B7" s="603">
        <f>'4 Vnější potenciál'!J7</f>
        <v>250017.87313</v>
      </c>
      <c r="C7" s="596">
        <f>'4 Vnější potenciál'!B7</f>
        <v>1811100</v>
      </c>
      <c r="D7" s="1263">
        <f t="shared" si="0"/>
        <v>14.409444953452628</v>
      </c>
    </row>
    <row r="8" spans="1:4" ht="12.75">
      <c r="A8" s="1251">
        <f>'4 Vnější potenciál'!A8</f>
        <v>1998</v>
      </c>
      <c r="B8" s="603">
        <f>'4 Vnější potenciál'!J8</f>
        <v>265661.004115</v>
      </c>
      <c r="C8" s="596">
        <f>'4 Vnější potenciál'!B8</f>
        <v>1996500</v>
      </c>
      <c r="D8" s="1263">
        <f t="shared" si="0"/>
        <v>14.506906205485413</v>
      </c>
    </row>
    <row r="9" spans="1:4" ht="12.75">
      <c r="A9" s="1251">
        <f>'4 Vnější potenciál'!A9</f>
        <v>1999</v>
      </c>
      <c r="B9" s="603">
        <f>'4 Vnější potenciál'!J9</f>
        <v>262159.57808</v>
      </c>
      <c r="C9" s="596">
        <f>'4 Vnější potenciál'!B9</f>
        <v>2080800</v>
      </c>
      <c r="D9" s="1263">
        <f t="shared" si="0"/>
        <v>14.548262993116579</v>
      </c>
    </row>
    <row r="10" spans="1:4" ht="12.75">
      <c r="A10" s="1251">
        <f>'4 Vnější potenciál'!A10</f>
        <v>2000</v>
      </c>
      <c r="B10" s="603">
        <f>'4 Vnější potenciál'!J10</f>
        <v>265369.569999</v>
      </c>
      <c r="C10" s="596">
        <f>'4 Vnější potenciál'!B10</f>
        <v>2189200</v>
      </c>
      <c r="D10" s="1263">
        <f t="shared" si="0"/>
        <v>14.5990467382519</v>
      </c>
    </row>
    <row r="11" spans="1:4" ht="12.75">
      <c r="A11" s="1251">
        <f>'4 Vnější potenciál'!A11</f>
        <v>2001</v>
      </c>
      <c r="B11" s="603">
        <f>'4 Vnější potenciál'!J11</f>
        <v>277934.435328</v>
      </c>
      <c r="C11" s="596">
        <f>'4 Vnější potenciál'!B11</f>
        <v>2352200</v>
      </c>
      <c r="D11" s="1263">
        <f t="shared" si="0"/>
        <v>14.670861618399073</v>
      </c>
    </row>
    <row r="12" spans="1:4" ht="12.75">
      <c r="A12" s="1251">
        <f>'4 Vnější potenciál'!A12</f>
        <v>2002</v>
      </c>
      <c r="B12" s="603">
        <f>'4 Vnější potenciál'!J12</f>
        <v>280521.285</v>
      </c>
      <c r="C12" s="596">
        <f>'4 Vnější potenciál'!B12</f>
        <v>2464400</v>
      </c>
      <c r="D12" s="1263">
        <f t="shared" si="0"/>
        <v>14.717458928122552</v>
      </c>
    </row>
    <row r="13" spans="1:4" ht="12.75">
      <c r="A13" s="1251">
        <f>'4 Vnější potenciál'!A13</f>
        <v>2003</v>
      </c>
      <c r="B13" s="603">
        <f>'4 Vnější potenciál'!J13</f>
        <v>285901.269275</v>
      </c>
      <c r="C13" s="596">
        <f>'4 Vnější potenciál'!B13</f>
        <v>2577100</v>
      </c>
      <c r="D13" s="1263">
        <f t="shared" si="0"/>
        <v>14.762175293693412</v>
      </c>
    </row>
    <row r="14" spans="1:4" ht="12.75">
      <c r="A14" s="1251">
        <f>'4 Vnější potenciál'!A14</f>
        <v>2004</v>
      </c>
      <c r="B14" s="603">
        <f>'4 Vnější potenciál'!J14</f>
        <v>291581.169341</v>
      </c>
      <c r="C14" s="596">
        <f>'4 Vnější potenciál'!B14</f>
        <v>2781100</v>
      </c>
      <c r="D14" s="1263">
        <f t="shared" si="0"/>
        <v>14.838357090858004</v>
      </c>
    </row>
    <row r="15" spans="1:4" ht="12.75">
      <c r="A15" s="1251">
        <f>'4 Vnější potenciál'!A15</f>
        <v>2005</v>
      </c>
      <c r="B15" s="603">
        <f>'4 Vnější potenciál'!J15</f>
        <v>297423.181704</v>
      </c>
      <c r="C15" s="596">
        <f>'4 Vnější potenciál'!B15</f>
        <v>2970300</v>
      </c>
      <c r="D15" s="1263">
        <f t="shared" si="0"/>
        <v>14.904173515778716</v>
      </c>
    </row>
    <row r="16" spans="1:4" ht="12.75">
      <c r="A16" s="1252">
        <f>'4 Vnější potenciál'!A16</f>
        <v>2006</v>
      </c>
      <c r="B16" s="1253">
        <f>'4 Vnější potenciál'!J16</f>
        <v>313189.268295</v>
      </c>
      <c r="C16" s="177">
        <f>'4 Vnější potenciál'!B16</f>
        <v>3196000</v>
      </c>
      <c r="D16" s="1264">
        <f t="shared" si="0"/>
        <v>14.977410585868302</v>
      </c>
    </row>
    <row r="17" ht="12.75">
      <c r="C17" s="15"/>
    </row>
    <row r="18" ht="12.75">
      <c r="A18" s="1232" t="s">
        <v>145</v>
      </c>
    </row>
    <row r="19" ht="13.5" thickBot="1"/>
    <row r="20" spans="1:2" ht="12.75">
      <c r="A20" s="21" t="s">
        <v>146</v>
      </c>
      <c r="B20" s="21"/>
    </row>
    <row r="21" spans="1:3" ht="12.75">
      <c r="A21" s="1258" t="s">
        <v>147</v>
      </c>
      <c r="B21" s="1258">
        <v>0.9801772080402632</v>
      </c>
      <c r="C21" s="1259" t="s">
        <v>712</v>
      </c>
    </row>
    <row r="22" spans="1:3" ht="12.75">
      <c r="A22" s="1258" t="s">
        <v>148</v>
      </c>
      <c r="B22" s="1258">
        <v>0.9607473591616055</v>
      </c>
      <c r="C22" s="1259" t="s">
        <v>713</v>
      </c>
    </row>
    <row r="23" spans="1:2" ht="12.75">
      <c r="A23" s="18" t="s">
        <v>149</v>
      </c>
      <c r="B23" s="18">
        <v>0.9568220950777659</v>
      </c>
    </row>
    <row r="24" spans="1:2" ht="12.75">
      <c r="A24" s="18" t="s">
        <v>150</v>
      </c>
      <c r="B24" s="18">
        <v>6131.770386084828</v>
      </c>
    </row>
    <row r="25" spans="1:2" ht="13.5" thickBot="1">
      <c r="A25" s="19" t="s">
        <v>151</v>
      </c>
      <c r="B25" s="19">
        <v>12</v>
      </c>
    </row>
    <row r="27" ht="13.5" thickBot="1">
      <c r="A27" t="s">
        <v>152</v>
      </c>
    </row>
    <row r="28" spans="1:6" ht="25.5">
      <c r="A28" s="20"/>
      <c r="B28" s="1260" t="s">
        <v>157</v>
      </c>
      <c r="C28" s="1260" t="s">
        <v>158</v>
      </c>
      <c r="D28" s="1260" t="s">
        <v>159</v>
      </c>
      <c r="E28" s="1260" t="s">
        <v>160</v>
      </c>
      <c r="F28" s="1260" t="s">
        <v>161</v>
      </c>
    </row>
    <row r="29" spans="1:6" ht="12.75">
      <c r="A29" s="18" t="s">
        <v>153</v>
      </c>
      <c r="B29" s="18">
        <v>1</v>
      </c>
      <c r="C29" s="18">
        <v>9202632647.79629</v>
      </c>
      <c r="D29" s="18">
        <v>9202632647.79629</v>
      </c>
      <c r="E29" s="18">
        <v>244.7599291770097</v>
      </c>
      <c r="F29" s="18">
        <v>2.3316966530031607E-08</v>
      </c>
    </row>
    <row r="30" spans="1:6" ht="12.75">
      <c r="A30" s="18" t="s">
        <v>154</v>
      </c>
      <c r="B30" s="18">
        <v>10</v>
      </c>
      <c r="C30" s="18">
        <v>375986080.67666876</v>
      </c>
      <c r="D30" s="18">
        <v>37598608.06766687</v>
      </c>
      <c r="E30" s="18"/>
      <c r="F30" s="18"/>
    </row>
    <row r="31" spans="1:6" ht="13.5" thickBot="1">
      <c r="A31" s="19" t="s">
        <v>155</v>
      </c>
      <c r="B31" s="19">
        <v>11</v>
      </c>
      <c r="C31" s="19">
        <v>9578618728.472958</v>
      </c>
      <c r="D31" s="19"/>
      <c r="E31" s="19"/>
      <c r="F31" s="19"/>
    </row>
    <row r="32" ht="13.5" thickBot="1"/>
    <row r="33" spans="1:9" ht="36">
      <c r="A33" s="579"/>
      <c r="B33" s="579" t="s">
        <v>162</v>
      </c>
      <c r="C33" s="1261" t="s">
        <v>150</v>
      </c>
      <c r="D33" s="1260" t="s">
        <v>163</v>
      </c>
      <c r="E33" s="1260" t="s">
        <v>164</v>
      </c>
      <c r="F33" s="1260" t="s">
        <v>165</v>
      </c>
      <c r="G33" s="1260" t="s">
        <v>166</v>
      </c>
      <c r="H33" s="1260" t="s">
        <v>167</v>
      </c>
      <c r="I33" s="1260" t="s">
        <v>168</v>
      </c>
    </row>
    <row r="34" spans="1:9" ht="12.75">
      <c r="A34" s="578" t="s">
        <v>156</v>
      </c>
      <c r="B34" s="578">
        <v>-1527951.8799368895</v>
      </c>
      <c r="C34" s="18">
        <v>114871.77828092188</v>
      </c>
      <c r="D34" s="18">
        <v>-13.3013687330603</v>
      </c>
      <c r="E34" s="18">
        <v>1.1032154442611201E-07</v>
      </c>
      <c r="F34" s="18">
        <v>-1783902.1510231437</v>
      </c>
      <c r="G34" s="18">
        <v>-1272001.6088506354</v>
      </c>
      <c r="H34" s="18">
        <v>-1783902.1510231437</v>
      </c>
      <c r="I34" s="18">
        <v>-1272001.6088506354</v>
      </c>
    </row>
    <row r="35" spans="1:9" ht="13.5" thickBot="1">
      <c r="A35" s="580" t="s">
        <v>715</v>
      </c>
      <c r="B35" s="580">
        <v>122889.1078352564</v>
      </c>
      <c r="C35" s="19">
        <v>7854.946508255821</v>
      </c>
      <c r="D35" s="19">
        <v>15.64480518181705</v>
      </c>
      <c r="E35" s="19">
        <v>2.3316966530031613E-08</v>
      </c>
      <c r="F35" s="19">
        <v>105387.19641503417</v>
      </c>
      <c r="G35" s="19">
        <v>140391.01925547863</v>
      </c>
      <c r="H35" s="19">
        <v>105387.19641503417</v>
      </c>
      <c r="I35" s="19">
        <v>140391.01925547863</v>
      </c>
    </row>
  </sheetData>
  <sheetProtection/>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2.75"/>
  <cols>
    <col min="1" max="1" width="30.75390625" style="0" customWidth="1"/>
    <col min="2" max="2" width="11.75390625" style="0" customWidth="1"/>
    <col min="10" max="10" width="1.00390625" style="0" customWidth="1"/>
  </cols>
  <sheetData>
    <row r="1" spans="1:9" s="582" customFormat="1" ht="21" customHeight="1">
      <c r="A1" s="581" t="s">
        <v>535</v>
      </c>
      <c r="I1" s="1167" t="s">
        <v>672</v>
      </c>
    </row>
    <row r="2" s="582" customFormat="1" ht="21" customHeight="1">
      <c r="A2" s="583" t="s">
        <v>825</v>
      </c>
    </row>
    <row r="3" spans="1:3" ht="12.75">
      <c r="A3" s="1254"/>
      <c r="B3" s="1255" t="s">
        <v>711</v>
      </c>
      <c r="C3" s="1254" t="s">
        <v>710</v>
      </c>
    </row>
    <row r="4" spans="1:3" ht="38.25">
      <c r="A4" s="1256" t="s">
        <v>143</v>
      </c>
      <c r="B4" s="1257" t="s">
        <v>708</v>
      </c>
      <c r="C4" s="1257" t="s">
        <v>702</v>
      </c>
    </row>
    <row r="5" spans="1:3" ht="12.75">
      <c r="A5" s="1251">
        <f>'4 Vnější potenciál'!A5</f>
        <v>1995</v>
      </c>
      <c r="B5" s="603">
        <f>'4 Vnější potenciál'!J5</f>
        <v>205220.527535</v>
      </c>
      <c r="C5" s="912">
        <f>'4 Vnější potenciál'!B5</f>
        <v>1466500</v>
      </c>
    </row>
    <row r="6" spans="1:3" ht="12.75">
      <c r="A6" s="1251">
        <f>'4 Vnější potenciál'!A6</f>
        <v>1996</v>
      </c>
      <c r="B6" s="603">
        <f>'4 Vnější potenciál'!J6</f>
        <v>232796.886504</v>
      </c>
      <c r="C6" s="596">
        <f>'4 Vnější potenciál'!B6</f>
        <v>1683300</v>
      </c>
    </row>
    <row r="7" spans="1:3" ht="12.75">
      <c r="A7" s="1251">
        <f>'4 Vnější potenciál'!A7</f>
        <v>1997</v>
      </c>
      <c r="B7" s="603">
        <f>'4 Vnější potenciál'!J7</f>
        <v>250017.87313</v>
      </c>
      <c r="C7" s="596">
        <f>'4 Vnější potenciál'!B7</f>
        <v>1811100</v>
      </c>
    </row>
    <row r="8" spans="1:3" ht="12.75">
      <c r="A8" s="1251">
        <f>'4 Vnější potenciál'!A8</f>
        <v>1998</v>
      </c>
      <c r="B8" s="603">
        <f>'4 Vnější potenciál'!J8</f>
        <v>265661.004115</v>
      </c>
      <c r="C8" s="596">
        <f>'4 Vnější potenciál'!B8</f>
        <v>1996500</v>
      </c>
    </row>
    <row r="9" spans="1:3" ht="12.75">
      <c r="A9" s="1251">
        <f>'4 Vnější potenciál'!A9</f>
        <v>1999</v>
      </c>
      <c r="B9" s="603">
        <f>'4 Vnější potenciál'!J9</f>
        <v>262159.57808</v>
      </c>
      <c r="C9" s="596">
        <f>'4 Vnější potenciál'!B9</f>
        <v>2080800</v>
      </c>
    </row>
    <row r="10" spans="1:3" ht="12.75">
      <c r="A10" s="1251">
        <f>'4 Vnější potenciál'!A10</f>
        <v>2000</v>
      </c>
      <c r="B10" s="603">
        <f>'4 Vnější potenciál'!J10</f>
        <v>265369.569999</v>
      </c>
      <c r="C10" s="596">
        <f>'4 Vnější potenciál'!B10</f>
        <v>2189200</v>
      </c>
    </row>
    <row r="11" spans="1:3" ht="12.75">
      <c r="A11" s="1251">
        <f>'4 Vnější potenciál'!A11</f>
        <v>2001</v>
      </c>
      <c r="B11" s="603">
        <f>'4 Vnější potenciál'!J11</f>
        <v>277934.435328</v>
      </c>
      <c r="C11" s="596">
        <f>'4 Vnější potenciál'!B11</f>
        <v>2352200</v>
      </c>
    </row>
    <row r="12" spans="1:3" ht="12.75">
      <c r="A12" s="1251">
        <f>'4 Vnější potenciál'!A12</f>
        <v>2002</v>
      </c>
      <c r="B12" s="603">
        <f>'4 Vnější potenciál'!J12</f>
        <v>280521.285</v>
      </c>
      <c r="C12" s="596">
        <f>'4 Vnější potenciál'!B12</f>
        <v>2464400</v>
      </c>
    </row>
    <row r="13" spans="1:3" ht="12.75">
      <c r="A13" s="1251">
        <f>'4 Vnější potenciál'!A13</f>
        <v>2003</v>
      </c>
      <c r="B13" s="603">
        <f>'4 Vnější potenciál'!J13</f>
        <v>285901.269275</v>
      </c>
      <c r="C13" s="596">
        <f>'4 Vnější potenciál'!B13</f>
        <v>2577100</v>
      </c>
    </row>
    <row r="14" spans="1:3" ht="12.75">
      <c r="A14" s="1251">
        <f>'4 Vnější potenciál'!A14</f>
        <v>2004</v>
      </c>
      <c r="B14" s="603">
        <f>'4 Vnější potenciál'!J14</f>
        <v>291581.169341</v>
      </c>
      <c r="C14" s="596">
        <f>'4 Vnější potenciál'!B14</f>
        <v>2781100</v>
      </c>
    </row>
    <row r="15" spans="1:3" ht="12.75">
      <c r="A15" s="1251">
        <f>'4 Vnější potenciál'!A15</f>
        <v>2005</v>
      </c>
      <c r="B15" s="603">
        <f>'4 Vnější potenciál'!J15</f>
        <v>297423.181704</v>
      </c>
      <c r="C15" s="596">
        <f>'4 Vnější potenciál'!B15</f>
        <v>2970300</v>
      </c>
    </row>
    <row r="16" spans="1:3" ht="12.75">
      <c r="A16" s="1252">
        <f>'4 Vnější potenciál'!A16</f>
        <v>2006</v>
      </c>
      <c r="B16" s="1253">
        <f>'4 Vnější potenciál'!J16</f>
        <v>313189.268295</v>
      </c>
      <c r="C16" s="177">
        <f>'4 Vnější potenciál'!B16</f>
        <v>3196000</v>
      </c>
    </row>
    <row r="17" ht="12.75">
      <c r="C17" s="15"/>
    </row>
    <row r="18" ht="12.75">
      <c r="A18" s="1232" t="s">
        <v>145</v>
      </c>
    </row>
    <row r="19" ht="13.5" thickBot="1"/>
    <row r="20" spans="1:2" ht="12.75">
      <c r="A20" s="21" t="s">
        <v>146</v>
      </c>
      <c r="B20" s="21"/>
    </row>
    <row r="21" spans="1:3" ht="12.75">
      <c r="A21" s="1258" t="s">
        <v>147</v>
      </c>
      <c r="B21" s="1258">
        <v>0.9598407511483098</v>
      </c>
      <c r="C21" s="1259" t="s">
        <v>712</v>
      </c>
    </row>
    <row r="22" spans="1:3" ht="12.75">
      <c r="A22" s="1258" t="s">
        <v>148</v>
      </c>
      <c r="B22" s="1258">
        <v>0.9212942675649516</v>
      </c>
      <c r="C22" s="1259" t="s">
        <v>713</v>
      </c>
    </row>
    <row r="23" spans="1:2" ht="12.75">
      <c r="A23" s="18" t="s">
        <v>149</v>
      </c>
      <c r="B23" s="18">
        <v>0.9134236943214468</v>
      </c>
    </row>
    <row r="24" spans="1:2" ht="12.75">
      <c r="A24" s="18" t="s">
        <v>150</v>
      </c>
      <c r="B24" s="18">
        <v>8682.696601520383</v>
      </c>
    </row>
    <row r="25" spans="1:2" ht="13.5" thickBot="1">
      <c r="A25" s="19" t="s">
        <v>151</v>
      </c>
      <c r="B25" s="19">
        <v>12</v>
      </c>
    </row>
    <row r="27" ht="13.5" thickBot="1">
      <c r="A27" t="s">
        <v>152</v>
      </c>
    </row>
    <row r="28" spans="1:6" ht="25.5">
      <c r="A28" s="20"/>
      <c r="B28" s="1260" t="s">
        <v>157</v>
      </c>
      <c r="C28" s="1260" t="s">
        <v>158</v>
      </c>
      <c r="D28" s="1260" t="s">
        <v>159</v>
      </c>
      <c r="E28" s="1260" t="s">
        <v>160</v>
      </c>
      <c r="F28" s="1260" t="s">
        <v>161</v>
      </c>
    </row>
    <row r="29" spans="1:6" ht="12.75">
      <c r="A29" s="18" t="s">
        <v>153</v>
      </c>
      <c r="B29" s="18">
        <v>1</v>
      </c>
      <c r="C29" s="18">
        <v>8824726525.732422</v>
      </c>
      <c r="D29" s="18">
        <v>8824726525.732422</v>
      </c>
      <c r="E29" s="18">
        <v>117.05554844118198</v>
      </c>
      <c r="F29" s="18">
        <v>7.689283912124206E-07</v>
      </c>
    </row>
    <row r="30" spans="1:6" ht="12.75">
      <c r="A30" s="18" t="s">
        <v>154</v>
      </c>
      <c r="B30" s="18">
        <v>10</v>
      </c>
      <c r="C30" s="18">
        <v>753892202.7405362</v>
      </c>
      <c r="D30" s="18">
        <v>75389220.27405362</v>
      </c>
      <c r="E30" s="18"/>
      <c r="F30" s="18"/>
    </row>
    <row r="31" spans="1:6" ht="13.5" thickBot="1">
      <c r="A31" s="19" t="s">
        <v>155</v>
      </c>
      <c r="B31" s="19">
        <v>11</v>
      </c>
      <c r="C31" s="19">
        <v>9578618728.472958</v>
      </c>
      <c r="D31" s="19"/>
      <c r="E31" s="19"/>
      <c r="F31" s="19"/>
    </row>
    <row r="32" ht="13.5" thickBot="1"/>
    <row r="33" spans="1:9" ht="36">
      <c r="A33" s="579"/>
      <c r="B33" s="579" t="s">
        <v>162</v>
      </c>
      <c r="C33" s="1261" t="s">
        <v>150</v>
      </c>
      <c r="D33" s="1260" t="s">
        <v>163</v>
      </c>
      <c r="E33" s="1260" t="s">
        <v>164</v>
      </c>
      <c r="F33" s="1260" t="s">
        <v>165</v>
      </c>
      <c r="G33" s="1260" t="s">
        <v>166</v>
      </c>
      <c r="H33" s="1260" t="s">
        <v>167</v>
      </c>
      <c r="I33" s="1260" t="s">
        <v>168</v>
      </c>
    </row>
    <row r="34" spans="1:9" ht="12.75">
      <c r="A34" s="578" t="s">
        <v>156</v>
      </c>
      <c r="B34" s="578">
        <v>145537.87087157601</v>
      </c>
      <c r="C34" s="18">
        <v>11681.71301573042</v>
      </c>
      <c r="D34" s="18">
        <v>12.45860694194395</v>
      </c>
      <c r="E34" s="18">
        <v>2.051539740827204E-07</v>
      </c>
      <c r="F34" s="18">
        <v>119509.39235515524</v>
      </c>
      <c r="G34" s="18">
        <v>171566.3493879968</v>
      </c>
      <c r="H34" s="18">
        <v>119509.39235515524</v>
      </c>
      <c r="I34" s="18">
        <v>171566.3493879968</v>
      </c>
    </row>
    <row r="35" spans="1:9" ht="13.5" thickBot="1">
      <c r="A35" s="580" t="s">
        <v>702</v>
      </c>
      <c r="B35" s="580">
        <v>0.05373239740454095</v>
      </c>
      <c r="C35" s="19">
        <v>0.004966383084923562</v>
      </c>
      <c r="D35" s="19">
        <v>10.819221249294335</v>
      </c>
      <c r="E35" s="19">
        <v>7.689283912124173E-07</v>
      </c>
      <c r="F35" s="19">
        <v>0.04266660634665595</v>
      </c>
      <c r="G35" s="19">
        <v>0.06479818846242595</v>
      </c>
      <c r="H35" s="19">
        <v>0.04266660634665595</v>
      </c>
      <c r="I35" s="19">
        <v>0.06479818846242595</v>
      </c>
    </row>
  </sheetData>
  <sheetProtection/>
  <hyperlinks>
    <hyperlink ref="I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scale="90"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00390625" defaultRowHeight="12.75"/>
  <cols>
    <col min="1" max="1" width="7.25390625" style="0" customWidth="1"/>
    <col min="3" max="3" width="6.25390625" style="0" customWidth="1"/>
    <col min="4" max="4" width="10.375" style="0" customWidth="1"/>
    <col min="5" max="5" width="7.125" style="0" customWidth="1"/>
    <col min="6" max="6" width="7.625" style="0" customWidth="1"/>
    <col min="7" max="7" width="2.625" style="0" customWidth="1"/>
    <col min="8" max="8" width="10.25390625" style="0" customWidth="1"/>
    <col min="9" max="9" width="10.625" style="0" customWidth="1"/>
    <col min="10" max="10" width="11.00390625" style="0" customWidth="1"/>
    <col min="11" max="11" width="6.375" style="0" customWidth="1"/>
    <col min="12" max="12" width="8.75390625" style="0" customWidth="1"/>
    <col min="13" max="13" width="6.125" style="0" customWidth="1"/>
    <col min="14" max="14" width="8.75390625" style="0" customWidth="1"/>
    <col min="15" max="15" width="5.875" style="0" customWidth="1"/>
    <col min="16" max="16" width="8.75390625" style="0" customWidth="1"/>
    <col min="17" max="17" width="6.00390625" style="0" customWidth="1"/>
    <col min="18" max="18" width="9.25390625" style="0" customWidth="1"/>
    <col min="19" max="19" width="9.00390625" style="0" customWidth="1"/>
    <col min="20" max="20" width="6.25390625" style="0" customWidth="1"/>
    <col min="21" max="21" width="5.75390625" style="0" customWidth="1"/>
  </cols>
  <sheetData>
    <row r="1" spans="1:20" ht="21" customHeight="1">
      <c r="A1" s="581" t="s">
        <v>537</v>
      </c>
      <c r="K1" s="31"/>
      <c r="S1" s="1451" t="s">
        <v>672</v>
      </c>
      <c r="T1" s="1451"/>
    </row>
    <row r="2" spans="1:11" ht="11.25" customHeight="1" thickBot="1">
      <c r="A2" s="581"/>
      <c r="K2" s="31"/>
    </row>
    <row r="3" spans="1:20" ht="21" customHeight="1" thickBot="1">
      <c r="A3" s="1446" t="s">
        <v>534</v>
      </c>
      <c r="B3" s="1447"/>
      <c r="C3" s="1447"/>
      <c r="D3" s="1447"/>
      <c r="E3" s="1447"/>
      <c r="F3" s="1448"/>
      <c r="G3" s="582"/>
      <c r="H3" s="1446" t="s">
        <v>722</v>
      </c>
      <c r="I3" s="1447"/>
      <c r="J3" s="1447"/>
      <c r="K3" s="1448"/>
      <c r="L3" s="1289" t="s">
        <v>718</v>
      </c>
      <c r="M3" s="1290"/>
      <c r="N3" s="1290"/>
      <c r="O3" s="1290"/>
      <c r="P3" s="1290"/>
      <c r="Q3" s="1290"/>
      <c r="R3" s="1446" t="s">
        <v>720</v>
      </c>
      <c r="S3" s="1447"/>
      <c r="T3" s="1448"/>
    </row>
    <row r="4" spans="1:20" ht="51.75" thickBot="1">
      <c r="A4" s="605" t="s">
        <v>143</v>
      </c>
      <c r="B4" s="606" t="s">
        <v>702</v>
      </c>
      <c r="C4" s="607" t="s">
        <v>169</v>
      </c>
      <c r="D4" s="606" t="s">
        <v>703</v>
      </c>
      <c r="E4" s="607" t="s">
        <v>169</v>
      </c>
      <c r="F4" s="608" t="s">
        <v>144</v>
      </c>
      <c r="G4" s="14"/>
      <c r="H4" s="1247" t="s">
        <v>709</v>
      </c>
      <c r="I4" s="1248" t="s">
        <v>707</v>
      </c>
      <c r="J4" s="1249" t="s">
        <v>708</v>
      </c>
      <c r="K4" s="1250" t="s">
        <v>169</v>
      </c>
      <c r="L4" s="609" t="s">
        <v>716</v>
      </c>
      <c r="M4" s="607" t="s">
        <v>169</v>
      </c>
      <c r="N4" s="606" t="s">
        <v>717</v>
      </c>
      <c r="O4" s="607" t="s">
        <v>169</v>
      </c>
      <c r="P4" s="606" t="s">
        <v>730</v>
      </c>
      <c r="Q4" s="1267" t="s">
        <v>169</v>
      </c>
      <c r="R4" s="605" t="s">
        <v>726</v>
      </c>
      <c r="S4" s="606" t="s">
        <v>719</v>
      </c>
      <c r="T4" s="610" t="s">
        <v>169</v>
      </c>
    </row>
    <row r="5" spans="1:22" ht="12.75">
      <c r="A5" s="612">
        <v>1995</v>
      </c>
      <c r="B5" s="85">
        <v>1466500</v>
      </c>
      <c r="C5" s="585"/>
      <c r="D5" s="85">
        <v>635413</v>
      </c>
      <c r="E5" s="585"/>
      <c r="F5" s="1229">
        <v>1.091</v>
      </c>
      <c r="G5" s="15"/>
      <c r="H5" s="1236">
        <v>19865</v>
      </c>
      <c r="I5" s="1237">
        <v>10330759</v>
      </c>
      <c r="J5" s="590">
        <f>H5*I5/1000000</f>
        <v>205220.527535</v>
      </c>
      <c r="K5" s="267"/>
      <c r="L5" s="600">
        <f>'1 Regrese - Čas lin'!$B$34+'1 Regrese - Čas lin'!$B$35*'4 Vnější potenciál'!A5</f>
        <v>226114.27600256354</v>
      </c>
      <c r="M5" s="593"/>
      <c r="N5" s="602">
        <f>'2 Regrese - HDP log'!$B$34+'2 Regrese - HDP log'!$B$35*LN('4 Vnější potenciál'!B5)</f>
        <v>216875.49754262157</v>
      </c>
      <c r="O5" s="593"/>
      <c r="P5" s="604">
        <f>'3 Regrese - HDP lin'!$B$34+'3 Regrese - HDP lin'!$B$35*'4 Vnější potenciál'!B5</f>
        <v>224336.43166533532</v>
      </c>
      <c r="Q5" s="266"/>
      <c r="R5" s="1285">
        <v>0.0607</v>
      </c>
      <c r="S5" s="1265">
        <f>J5*R5</f>
        <v>12456.8860213745</v>
      </c>
      <c r="T5" s="91"/>
      <c r="V5" s="15"/>
    </row>
    <row r="6" spans="1:20" ht="12.75">
      <c r="A6" s="612">
        <v>1996</v>
      </c>
      <c r="B6" s="85">
        <v>1683300</v>
      </c>
      <c r="C6" s="586">
        <f aca="true" t="shared" si="0" ref="C6:C20">B6/B5-1</f>
        <v>0.14783498124786898</v>
      </c>
      <c r="D6" s="85">
        <v>772027</v>
      </c>
      <c r="E6" s="586">
        <f aca="true" t="shared" si="1" ref="E6:E20">D6/D5-1</f>
        <v>0.2150003226248125</v>
      </c>
      <c r="F6" s="1229">
        <v>1.088</v>
      </c>
      <c r="G6" s="15"/>
      <c r="H6" s="1238">
        <v>22568</v>
      </c>
      <c r="I6" s="1239">
        <v>10315353</v>
      </c>
      <c r="J6" s="589">
        <f aca="true" t="shared" si="2" ref="J6:J16">H6*I6/1000000</f>
        <v>232796.886504</v>
      </c>
      <c r="K6" s="591">
        <f aca="true" t="shared" si="3" ref="K6:K16">J6/J5-1</f>
        <v>0.1343742719124279</v>
      </c>
      <c r="L6" s="601">
        <f>'1 Regrese - Čas lin'!$B$34+'1 Regrese - Čas lin'!$B$35*'4 Vnější potenciál'!A6</f>
        <v>233908.28715824895</v>
      </c>
      <c r="M6" s="586"/>
      <c r="N6" s="604">
        <f>'2 Regrese - HDP log'!$B$34+'2 Regrese - HDP log'!$B$35*LN('4 Vnější potenciál'!B6)</f>
        <v>233819.14579333435</v>
      </c>
      <c r="O6" s="586"/>
      <c r="P6" s="604">
        <f>'3 Regrese - HDP lin'!$B$34+'3 Regrese - HDP lin'!$B$35*'4 Vnější potenciál'!B6</f>
        <v>235985.6154226398</v>
      </c>
      <c r="Q6" s="1268"/>
      <c r="R6" s="1286">
        <v>0.0607</v>
      </c>
      <c r="S6" s="1266">
        <f aca="true" t="shared" si="4" ref="S6:S16">J6*R6</f>
        <v>14130.7710107928</v>
      </c>
      <c r="T6" s="591">
        <f>S6/S5-1</f>
        <v>0.1343742719124279</v>
      </c>
    </row>
    <row r="7" spans="1:20" ht="12.75">
      <c r="A7" s="612">
        <v>1997</v>
      </c>
      <c r="B7" s="85">
        <v>1811100</v>
      </c>
      <c r="C7" s="586">
        <f t="shared" si="0"/>
        <v>0.07592229549099971</v>
      </c>
      <c r="D7" s="85">
        <v>811400</v>
      </c>
      <c r="E7" s="586">
        <f t="shared" si="1"/>
        <v>0.050999511675109854</v>
      </c>
      <c r="F7" s="1229">
        <v>1.085</v>
      </c>
      <c r="G7" s="15"/>
      <c r="H7" s="1238">
        <v>24265</v>
      </c>
      <c r="I7" s="1239">
        <v>10303642</v>
      </c>
      <c r="J7" s="589">
        <f t="shared" si="2"/>
        <v>250017.87313</v>
      </c>
      <c r="K7" s="591">
        <f t="shared" si="3"/>
        <v>0.073974299590575</v>
      </c>
      <c r="L7" s="601">
        <f>'1 Regrese - Čas lin'!$B$34+'1 Regrese - Čas lin'!$B$35*'4 Vnější potenciál'!A7</f>
        <v>241702.29831393436</v>
      </c>
      <c r="M7" s="586"/>
      <c r="N7" s="604">
        <f>'2 Regrese - HDP log'!$B$34+'2 Regrese - HDP log'!$B$35*LN('4 Vnější potenciál'!B7)</f>
        <v>242811.9547941417</v>
      </c>
      <c r="O7" s="586"/>
      <c r="P7" s="604">
        <f>'3 Regrese - HDP lin'!$B$34+'3 Regrese - HDP lin'!$B$35*'4 Vnější potenciál'!B7</f>
        <v>242852.61581094013</v>
      </c>
      <c r="Q7" s="1268"/>
      <c r="R7" s="1286">
        <v>0.0608</v>
      </c>
      <c r="S7" s="1266">
        <f t="shared" si="4"/>
        <v>15201.086686304</v>
      </c>
      <c r="T7" s="591">
        <f aca="true" t="shared" si="5" ref="T7:T20">S7/S6-1</f>
        <v>0.0757436147464079</v>
      </c>
    </row>
    <row r="8" spans="1:20" ht="12.75">
      <c r="A8" s="612">
        <v>1998</v>
      </c>
      <c r="B8" s="85">
        <v>1996500</v>
      </c>
      <c r="C8" s="586">
        <f t="shared" si="0"/>
        <v>0.10236872618850423</v>
      </c>
      <c r="D8" s="85">
        <v>794361</v>
      </c>
      <c r="E8" s="586">
        <f t="shared" si="1"/>
        <v>-0.02099950702489528</v>
      </c>
      <c r="F8" s="1229">
        <v>1.107</v>
      </c>
      <c r="G8" s="15"/>
      <c r="H8" s="1238">
        <v>25805</v>
      </c>
      <c r="I8" s="1239">
        <v>10294943</v>
      </c>
      <c r="J8" s="589">
        <f t="shared" si="2"/>
        <v>265661.004115</v>
      </c>
      <c r="K8" s="591">
        <f t="shared" si="3"/>
        <v>0.06256805079237737</v>
      </c>
      <c r="L8" s="601">
        <f>'1 Regrese - Čas lin'!$B$34+'1 Regrese - Čas lin'!$B$35*'4 Vnější potenciál'!A8</f>
        <v>249496.3094696179</v>
      </c>
      <c r="M8" s="586"/>
      <c r="N8" s="604">
        <f>'2 Regrese - HDP log'!$B$34+'2 Regrese - HDP log'!$B$35*LN('4 Vnější potenciál'!B8)</f>
        <v>254788.88110495778</v>
      </c>
      <c r="O8" s="586"/>
      <c r="P8" s="604">
        <f>'3 Regrese - HDP lin'!$B$34+'3 Regrese - HDP lin'!$B$35*'4 Vnější potenciál'!B8</f>
        <v>252814.60228974203</v>
      </c>
      <c r="Q8" s="1268"/>
      <c r="R8" s="1286">
        <v>0.0609</v>
      </c>
      <c r="S8" s="1266">
        <f t="shared" si="4"/>
        <v>16178.755150603502</v>
      </c>
      <c r="T8" s="591">
        <f t="shared" si="5"/>
        <v>0.06431569561275974</v>
      </c>
    </row>
    <row r="9" spans="1:20" ht="12.75">
      <c r="A9" s="612">
        <v>1999</v>
      </c>
      <c r="B9" s="85">
        <v>2080800</v>
      </c>
      <c r="C9" s="586">
        <f t="shared" si="0"/>
        <v>0.04222389181066877</v>
      </c>
      <c r="D9" s="85">
        <v>825341</v>
      </c>
      <c r="E9" s="586">
        <f t="shared" si="1"/>
        <v>0.038999900548994715</v>
      </c>
      <c r="F9" s="1229">
        <v>1.021</v>
      </c>
      <c r="G9" s="15"/>
      <c r="H9" s="1238">
        <v>25495</v>
      </c>
      <c r="I9" s="1239">
        <v>10282784</v>
      </c>
      <c r="J9" s="589">
        <f t="shared" si="2"/>
        <v>262159.57808</v>
      </c>
      <c r="K9" s="591">
        <f t="shared" si="3"/>
        <v>-0.013180052701616374</v>
      </c>
      <c r="L9" s="601">
        <f>'1 Regrese - Čas lin'!$B$34+'1 Regrese - Čas lin'!$B$35*'4 Vnější potenciál'!A9</f>
        <v>257290.3206253033</v>
      </c>
      <c r="M9" s="586"/>
      <c r="N9" s="604">
        <f>'2 Regrese - HDP log'!$B$34+'2 Regrese - HDP log'!$B$35*LN('4 Vnější potenciál'!B9)</f>
        <v>259871.17983988393</v>
      </c>
      <c r="O9" s="586"/>
      <c r="P9" s="604">
        <f>'3 Regrese - HDP lin'!$B$34+'3 Regrese - HDP lin'!$B$35*'4 Vnější potenciál'!B9</f>
        <v>257344.24339094484</v>
      </c>
      <c r="Q9" s="1268"/>
      <c r="R9" s="1286">
        <v>0.0609</v>
      </c>
      <c r="S9" s="1266">
        <f t="shared" si="4"/>
        <v>15965.518305072</v>
      </c>
      <c r="T9" s="591">
        <f t="shared" si="5"/>
        <v>-0.013180052701616374</v>
      </c>
    </row>
    <row r="10" spans="1:20" ht="12.75">
      <c r="A10" s="612">
        <v>2000</v>
      </c>
      <c r="B10" s="85">
        <v>2189200</v>
      </c>
      <c r="C10" s="586">
        <f t="shared" si="0"/>
        <v>0.05209534794309878</v>
      </c>
      <c r="D10" s="85">
        <v>891368</v>
      </c>
      <c r="E10" s="586">
        <f t="shared" si="1"/>
        <v>0.0799996607462854</v>
      </c>
      <c r="F10" s="1229">
        <v>1.039</v>
      </c>
      <c r="G10" s="15"/>
      <c r="H10" s="1238">
        <v>25833</v>
      </c>
      <c r="I10" s="1239">
        <v>10272503</v>
      </c>
      <c r="J10" s="589">
        <f t="shared" si="2"/>
        <v>265369.569999</v>
      </c>
      <c r="K10" s="591">
        <f t="shared" si="3"/>
        <v>0.012244419763371983</v>
      </c>
      <c r="L10" s="601">
        <f>'1 Regrese - Čas lin'!$B$34+'1 Regrese - Čas lin'!$B$35*'4 Vnější potenciál'!A10</f>
        <v>265084.3317809887</v>
      </c>
      <c r="M10" s="586"/>
      <c r="N10" s="604">
        <f>'2 Regrese - HDP log'!$B$34+'2 Regrese - HDP log'!$B$35*LN('4 Vnější potenciál'!B10)</f>
        <v>266111.94897209667</v>
      </c>
      <c r="O10" s="586"/>
      <c r="P10" s="604">
        <f>'3 Regrese - HDP lin'!$B$34+'3 Regrese - HDP lin'!$B$35*'4 Vnější potenciál'!B10</f>
        <v>263168.83526959707</v>
      </c>
      <c r="Q10" s="1268"/>
      <c r="R10" s="1286">
        <v>0.0609</v>
      </c>
      <c r="S10" s="1266">
        <f t="shared" si="4"/>
        <v>16161.0068129391</v>
      </c>
      <c r="T10" s="591">
        <f t="shared" si="5"/>
        <v>0.012244419763371983</v>
      </c>
    </row>
    <row r="11" spans="1:20" s="31" customFormat="1" ht="12.75">
      <c r="A11" s="612">
        <v>2001</v>
      </c>
      <c r="B11" s="85">
        <v>2352200</v>
      </c>
      <c r="C11" s="586">
        <f t="shared" si="0"/>
        <v>0.07445642243742001</v>
      </c>
      <c r="D11" s="85">
        <v>943067</v>
      </c>
      <c r="E11" s="586">
        <f t="shared" si="1"/>
        <v>0.05799961407634102</v>
      </c>
      <c r="F11" s="1229">
        <v>1.047</v>
      </c>
      <c r="G11" s="85"/>
      <c r="H11" s="1238">
        <v>27184</v>
      </c>
      <c r="I11" s="1239">
        <v>10224192</v>
      </c>
      <c r="J11" s="589">
        <f t="shared" si="2"/>
        <v>277934.435328</v>
      </c>
      <c r="K11" s="591">
        <f t="shared" si="3"/>
        <v>0.04734855367571855</v>
      </c>
      <c r="L11" s="601">
        <f>'1 Regrese - Čas lin'!$B$34+'1 Regrese - Čas lin'!$B$35*'4 Vnější potenciál'!A11</f>
        <v>272878.34293667413</v>
      </c>
      <c r="M11" s="586"/>
      <c r="N11" s="604">
        <f>'2 Regrese - HDP log'!$B$34+'2 Regrese - HDP log'!$B$35*LN('4 Vnější potenciál'!B11)</f>
        <v>274937.21552267857</v>
      </c>
      <c r="O11" s="586"/>
      <c r="P11" s="604">
        <f>'3 Regrese - HDP lin'!$B$34+'3 Regrese - HDP lin'!$B$35*'4 Vnější potenciál'!B11</f>
        <v>271927.2160465373</v>
      </c>
      <c r="Q11" s="1268"/>
      <c r="R11" s="1286">
        <v>0.0612</v>
      </c>
      <c r="S11" s="1266">
        <f t="shared" si="4"/>
        <v>17009.5874420736</v>
      </c>
      <c r="T11" s="591">
        <f t="shared" si="5"/>
        <v>0.052507906156879613</v>
      </c>
    </row>
    <row r="12" spans="1:20" s="31" customFormat="1" ht="12.75">
      <c r="A12" s="612">
        <v>2002</v>
      </c>
      <c r="B12" s="85">
        <v>2464400</v>
      </c>
      <c r="C12" s="586">
        <f t="shared" si="0"/>
        <v>0.04770002550803509</v>
      </c>
      <c r="D12" s="85">
        <v>960985</v>
      </c>
      <c r="E12" s="586">
        <f t="shared" si="1"/>
        <v>0.018999710518976975</v>
      </c>
      <c r="F12" s="1229">
        <v>1.018</v>
      </c>
      <c r="G12" s="85"/>
      <c r="H12" s="1238">
        <v>27500</v>
      </c>
      <c r="I12" s="1239">
        <v>10200774</v>
      </c>
      <c r="J12" s="589">
        <f t="shared" si="2"/>
        <v>280521.285</v>
      </c>
      <c r="K12" s="591">
        <f t="shared" si="3"/>
        <v>0.00930740974556521</v>
      </c>
      <c r="L12" s="601">
        <f>'1 Regrese - Čas lin'!$B$34+'1 Regrese - Čas lin'!$B$35*'4 Vnější potenciál'!A12</f>
        <v>280672.35409235954</v>
      </c>
      <c r="M12" s="586"/>
      <c r="N12" s="604">
        <f>'2 Regrese - HDP log'!$B$34+'2 Regrese - HDP log'!$B$35*LN('4 Vnější potenciál'!B12)</f>
        <v>280663.51734211994</v>
      </c>
      <c r="O12" s="586"/>
      <c r="P12" s="604">
        <f>'3 Regrese - HDP lin'!$B$34+'3 Regrese - HDP lin'!$B$35*'4 Vnější potenciál'!B12</f>
        <v>277955.99103532673</v>
      </c>
      <c r="Q12" s="1268"/>
      <c r="R12" s="1286">
        <v>0.0612</v>
      </c>
      <c r="S12" s="1266">
        <f t="shared" si="4"/>
        <v>17167.902641999997</v>
      </c>
      <c r="T12" s="591">
        <f t="shared" si="5"/>
        <v>0.009307409745564987</v>
      </c>
    </row>
    <row r="13" spans="1:20" s="31" customFormat="1" ht="12.75">
      <c r="A13" s="612">
        <v>2003</v>
      </c>
      <c r="B13" s="85">
        <v>2577100</v>
      </c>
      <c r="C13" s="586">
        <f t="shared" si="0"/>
        <v>0.04573121246550893</v>
      </c>
      <c r="D13" s="85">
        <v>1006152</v>
      </c>
      <c r="E13" s="586">
        <f t="shared" si="1"/>
        <v>0.04700073362227308</v>
      </c>
      <c r="F13" s="1229">
        <v>1.001</v>
      </c>
      <c r="G13" s="85"/>
      <c r="H13" s="1238">
        <v>28025</v>
      </c>
      <c r="I13" s="1239">
        <v>10201651</v>
      </c>
      <c r="J13" s="589">
        <f t="shared" si="2"/>
        <v>285901.269275</v>
      </c>
      <c r="K13" s="591">
        <f t="shared" si="3"/>
        <v>0.01917852427846989</v>
      </c>
      <c r="L13" s="601">
        <f>'1 Regrese - Čas lin'!$B$34+'1 Regrese - Čas lin'!$B$35*'4 Vnější potenciál'!A13</f>
        <v>288466.36524804495</v>
      </c>
      <c r="M13" s="586"/>
      <c r="N13" s="604">
        <f>'2 Regrese - HDP log'!$B$34+'2 Regrese - HDP log'!$B$35*LN('4 Vnější potenciál'!B13)</f>
        <v>286158.6716127582</v>
      </c>
      <c r="O13" s="586"/>
      <c r="P13" s="604">
        <f>'3 Regrese - HDP lin'!$B$34+'3 Regrese - HDP lin'!$B$35*'4 Vnější potenciál'!B13</f>
        <v>284011.6322228185</v>
      </c>
      <c r="Q13" s="1268"/>
      <c r="R13" s="1286">
        <v>0.0613</v>
      </c>
      <c r="S13" s="1266">
        <f t="shared" si="4"/>
        <v>17525.7478065575</v>
      </c>
      <c r="T13" s="591">
        <f t="shared" si="5"/>
        <v>0.020843848664545916</v>
      </c>
    </row>
    <row r="14" spans="1:20" s="31" customFormat="1" ht="12.75">
      <c r="A14" s="612">
        <v>2004</v>
      </c>
      <c r="B14" s="85">
        <v>2781100</v>
      </c>
      <c r="C14" s="586">
        <f t="shared" si="0"/>
        <v>0.07915874432501657</v>
      </c>
      <c r="D14" s="85">
        <v>1053441</v>
      </c>
      <c r="E14" s="586">
        <f t="shared" si="1"/>
        <v>0.04699985688047126</v>
      </c>
      <c r="F14" s="1229">
        <v>1.028</v>
      </c>
      <c r="G14" s="85"/>
      <c r="H14" s="1238">
        <v>28567</v>
      </c>
      <c r="I14" s="1239">
        <v>10206923</v>
      </c>
      <c r="J14" s="589">
        <f t="shared" si="2"/>
        <v>291581.169341</v>
      </c>
      <c r="K14" s="591">
        <f t="shared" si="3"/>
        <v>0.01986664865253407</v>
      </c>
      <c r="L14" s="601">
        <f>'1 Regrese - Čas lin'!$B$34+'1 Regrese - Čas lin'!$B$35*'4 Vnější potenciál'!A14</f>
        <v>296260.37640373036</v>
      </c>
      <c r="M14" s="586"/>
      <c r="N14" s="604">
        <f>'2 Regrese - HDP log'!$B$34+'2 Regrese - HDP log'!$B$35*LN('4 Vnější potenciál'!B14)</f>
        <v>295520.5846996014</v>
      </c>
      <c r="O14" s="586"/>
      <c r="P14" s="604">
        <f>'3 Regrese - HDP lin'!$B$34+'3 Regrese - HDP lin'!$B$35*'4 Vnější potenciál'!B14</f>
        <v>294973.0412933448</v>
      </c>
      <c r="Q14" s="1268"/>
      <c r="R14" s="1286">
        <v>0.0613</v>
      </c>
      <c r="S14" s="1266">
        <f t="shared" si="4"/>
        <v>17873.925680603297</v>
      </c>
      <c r="T14" s="591">
        <f t="shared" si="5"/>
        <v>0.01986664865253407</v>
      </c>
    </row>
    <row r="15" spans="1:20" s="31" customFormat="1" ht="12.75">
      <c r="A15" s="612">
        <v>2005</v>
      </c>
      <c r="B15" s="85">
        <v>2970300</v>
      </c>
      <c r="C15" s="586">
        <f t="shared" si="0"/>
        <v>0.06803063536010923</v>
      </c>
      <c r="D15" s="85">
        <v>1100846</v>
      </c>
      <c r="E15" s="586">
        <f t="shared" si="1"/>
        <v>0.04500014713685907</v>
      </c>
      <c r="F15" s="1229">
        <v>1.019</v>
      </c>
      <c r="G15" s="85"/>
      <c r="H15" s="1238">
        <v>29062</v>
      </c>
      <c r="I15" s="1239">
        <v>10234092</v>
      </c>
      <c r="J15" s="589">
        <f t="shared" si="2"/>
        <v>297423.181704</v>
      </c>
      <c r="K15" s="591">
        <f t="shared" si="3"/>
        <v>0.020035629791194998</v>
      </c>
      <c r="L15" s="601">
        <f>'1 Regrese - Čas lin'!$B$34+'1 Regrese - Čas lin'!$B$35*'4 Vnější potenciál'!A15</f>
        <v>304054.3875594158</v>
      </c>
      <c r="M15" s="586"/>
      <c r="N15" s="604">
        <f>'2 Regrese - HDP log'!$B$34+'2 Regrese - HDP log'!$B$35*LN('4 Vnější potenciál'!B15)</f>
        <v>303608.7064390138</v>
      </c>
      <c r="O15" s="586"/>
      <c r="P15" s="604">
        <f>'3 Regrese - HDP lin'!$B$34+'3 Regrese - HDP lin'!$B$35*'4 Vnější potenciál'!B15</f>
        <v>305139.210882284</v>
      </c>
      <c r="Q15" s="1268"/>
      <c r="R15" s="1286">
        <v>0.0612</v>
      </c>
      <c r="S15" s="1266">
        <f t="shared" si="4"/>
        <v>18202.298720284798</v>
      </c>
      <c r="T15" s="591">
        <f t="shared" si="5"/>
        <v>0.018371623869839038</v>
      </c>
    </row>
    <row r="16" spans="1:20" s="31" customFormat="1" ht="13.5" thickBot="1">
      <c r="A16" s="612">
        <v>2006</v>
      </c>
      <c r="B16" s="85">
        <v>3196000</v>
      </c>
      <c r="C16" s="586">
        <f t="shared" si="0"/>
        <v>0.07598559068107602</v>
      </c>
      <c r="D16" s="85">
        <v>1175703</v>
      </c>
      <c r="E16" s="586">
        <f t="shared" si="1"/>
        <v>0.0679995203688799</v>
      </c>
      <c r="F16" s="1229">
        <v>1.026</v>
      </c>
      <c r="G16" s="85"/>
      <c r="H16" s="1238">
        <v>30515</v>
      </c>
      <c r="I16" s="1239">
        <v>10263453</v>
      </c>
      <c r="J16" s="589">
        <f t="shared" si="2"/>
        <v>313189.268295</v>
      </c>
      <c r="K16" s="591">
        <f t="shared" si="3"/>
        <v>0.05300893662919215</v>
      </c>
      <c r="L16" s="601">
        <f>'1 Regrese - Čas lin'!$B$34+'1 Regrese - Čas lin'!$B$35*'4 Vnější potenciál'!A16</f>
        <v>311848.3987151012</v>
      </c>
      <c r="M16" s="586"/>
      <c r="N16" s="604">
        <f>'2 Regrese - HDP log'!$B$34+'2 Regrese - HDP log'!$B$35*LN('4 Vnější potenciál'!B16)</f>
        <v>312608.7446427911</v>
      </c>
      <c r="O16" s="586"/>
      <c r="P16" s="604">
        <f>'3 Regrese - HDP lin'!$B$34+'3 Regrese - HDP lin'!$B$35*'4 Vnější potenciál'!B16</f>
        <v>317266.6129764889</v>
      </c>
      <c r="Q16" s="1268"/>
      <c r="R16" s="1287">
        <v>0.0613</v>
      </c>
      <c r="S16" s="1271">
        <f t="shared" si="4"/>
        <v>19198.5021464835</v>
      </c>
      <c r="T16" s="592">
        <f t="shared" si="5"/>
        <v>0.054729539466821686</v>
      </c>
    </row>
    <row r="17" spans="1:21" s="31" customFormat="1" ht="12.75">
      <c r="A17" s="613">
        <v>2007</v>
      </c>
      <c r="B17" s="266">
        <v>3430000</v>
      </c>
      <c r="C17" s="587">
        <f t="shared" si="0"/>
        <v>0.07321652065081352</v>
      </c>
      <c r="D17" s="266">
        <v>1248597</v>
      </c>
      <c r="E17" s="587">
        <f t="shared" si="1"/>
        <v>0.06200035212974697</v>
      </c>
      <c r="F17" s="1230">
        <v>1.02</v>
      </c>
      <c r="G17" s="85"/>
      <c r="H17" s="627"/>
      <c r="I17" s="876"/>
      <c r="J17" s="598"/>
      <c r="K17" s="267"/>
      <c r="L17" s="590">
        <f>'1 Regrese - Čas lin'!$B$34+'1 Regrese - Čas lin'!$B$35*'4 Vnější potenciál'!A17</f>
        <v>319642.4098707866</v>
      </c>
      <c r="M17" s="587">
        <f>L17/J16-1</f>
        <v>0.020604606316549257</v>
      </c>
      <c r="N17" s="1265">
        <f>'2 Regrese - HDP log'!$B$34+'2 Regrese - HDP log'!$B$35*LN('4 Vnější potenciál'!B17)</f>
        <v>321292.11766924197</v>
      </c>
      <c r="O17" s="587">
        <f>N17/J16-1</f>
        <v>0.025872053082641733</v>
      </c>
      <c r="P17" s="620">
        <f>'3 Regrese - HDP lin'!$B$34+'3 Regrese - HDP lin'!$B$35*'4 Vnější potenciál'!B17</f>
        <v>329839.9939691515</v>
      </c>
      <c r="Q17" s="1269">
        <f>P17/J16-1</f>
        <v>0.05316505819244033</v>
      </c>
      <c r="R17" s="1286">
        <v>0.0614</v>
      </c>
      <c r="S17" s="1281">
        <f>P17*R17</f>
        <v>20252.175629705904</v>
      </c>
      <c r="T17" s="1282">
        <f t="shared" si="5"/>
        <v>0.054883108858333474</v>
      </c>
      <c r="U17" s="195"/>
    </row>
    <row r="18" spans="1:21" ht="12.75">
      <c r="A18" s="612">
        <v>2008</v>
      </c>
      <c r="B18" s="85">
        <v>3647000</v>
      </c>
      <c r="C18" s="586">
        <f t="shared" si="0"/>
        <v>0.06326530612244907</v>
      </c>
      <c r="D18" s="85">
        <v>1340993</v>
      </c>
      <c r="E18" s="586">
        <f t="shared" si="1"/>
        <v>0.07399985743999071</v>
      </c>
      <c r="F18" s="1229">
        <v>1.028</v>
      </c>
      <c r="G18" s="15"/>
      <c r="H18" s="628"/>
      <c r="I18" s="914"/>
      <c r="J18" s="279"/>
      <c r="K18" s="248"/>
      <c r="L18" s="589">
        <f>'1 Regrese - Čas lin'!$B$34+'1 Regrese - Čas lin'!$B$35*'4 Vnější potenciál'!A18</f>
        <v>327436.421026472</v>
      </c>
      <c r="M18" s="586">
        <f>L18/L17-1</f>
        <v>0.024383532707177746</v>
      </c>
      <c r="N18" s="1266">
        <f>'2 Regrese - HDP log'!$B$34+'2 Regrese - HDP log'!$B$35*LN('4 Vnější potenciál'!B18)</f>
        <v>328830.70705792564</v>
      </c>
      <c r="O18" s="586">
        <f>N18/N17-1</f>
        <v>0.023463349936410083</v>
      </c>
      <c r="P18" s="621">
        <f>'3 Regrese - HDP lin'!$B$34+'3 Regrese - HDP lin'!$B$35*'4 Vnější potenciál'!B18</f>
        <v>341499.92420593684</v>
      </c>
      <c r="Q18" s="1270">
        <f>P18/P17-1</f>
        <v>0.035350262096705665</v>
      </c>
      <c r="R18" s="1286">
        <v>0.0614</v>
      </c>
      <c r="S18" s="1281">
        <f>P18*R18</f>
        <v>20968.09534624452</v>
      </c>
      <c r="T18" s="1282">
        <f t="shared" si="5"/>
        <v>0.035350262096705665</v>
      </c>
      <c r="U18" s="195"/>
    </row>
    <row r="19" spans="1:21" ht="12.75">
      <c r="A19" s="612">
        <v>2009</v>
      </c>
      <c r="B19" s="85">
        <v>3852000</v>
      </c>
      <c r="C19" s="586">
        <f t="shared" si="0"/>
        <v>0.056210584041678</v>
      </c>
      <c r="D19" s="85">
        <v>1440227</v>
      </c>
      <c r="E19" s="586">
        <f t="shared" si="1"/>
        <v>0.07400038628091266</v>
      </c>
      <c r="F19" s="1229">
        <v>1.02</v>
      </c>
      <c r="G19" s="15"/>
      <c r="H19" s="628"/>
      <c r="I19" s="914"/>
      <c r="J19" s="279"/>
      <c r="K19" s="248"/>
      <c r="L19" s="589">
        <f>'1 Regrese - Čas lin'!$B$34+'1 Regrese - Čas lin'!$B$35*'4 Vnější potenciál'!A19</f>
        <v>335230.4321821574</v>
      </c>
      <c r="M19" s="586">
        <f>L19/L18-1</f>
        <v>0.023803128348557356</v>
      </c>
      <c r="N19" s="1266">
        <f>'2 Regrese - HDP log'!$B$34+'2 Regrese - HDP log'!$B$35*LN('4 Vnější potenciál'!B19)</f>
        <v>335551.2152330091</v>
      </c>
      <c r="O19" s="586">
        <f>N19/N18-1</f>
        <v>0.020437593055746994</v>
      </c>
      <c r="P19" s="621">
        <f>'3 Regrese - HDP lin'!$B$34+'3 Regrese - HDP lin'!$B$35*'4 Vnější potenciál'!B19</f>
        <v>352515.06567386776</v>
      </c>
      <c r="Q19" s="1270">
        <f>P19/P18-1</f>
        <v>0.0322551798321582</v>
      </c>
      <c r="R19" s="1286">
        <v>0.0615</v>
      </c>
      <c r="S19" s="1281">
        <f>P19*R19</f>
        <v>21679.676538942866</v>
      </c>
      <c r="T19" s="1282">
        <f t="shared" si="5"/>
        <v>0.03393637719344844</v>
      </c>
      <c r="U19" s="195"/>
    </row>
    <row r="20" spans="1:20" ht="13.5" thickBot="1">
      <c r="A20" s="614">
        <v>2010</v>
      </c>
      <c r="B20" s="17">
        <v>4098000</v>
      </c>
      <c r="C20" s="588">
        <f t="shared" si="0"/>
        <v>0.06386292834890961</v>
      </c>
      <c r="D20" s="17">
        <v>1548244</v>
      </c>
      <c r="E20" s="588">
        <f t="shared" si="1"/>
        <v>0.07499998264162522</v>
      </c>
      <c r="F20" s="1231">
        <v>1.02</v>
      </c>
      <c r="G20" s="15"/>
      <c r="H20" s="629"/>
      <c r="I20" s="1058"/>
      <c r="J20" s="599"/>
      <c r="K20" s="92"/>
      <c r="L20" s="589">
        <f>'1 Regrese - Čas lin'!$B$34+'1 Regrese - Čas lin'!$B$35*'4 Vnější potenciál'!A20</f>
        <v>343024.4433378428</v>
      </c>
      <c r="M20" s="586">
        <f>L20/L19-1</f>
        <v>0.023249712458832894</v>
      </c>
      <c r="N20" s="1266">
        <f>'2 Regrese - HDP log'!$B$34+'2 Regrese - HDP log'!$B$35*LN('4 Vnější potenciál'!B20)</f>
        <v>343158.85665435763</v>
      </c>
      <c r="O20" s="586">
        <f>N20/N19-1</f>
        <v>0.022672072327515558</v>
      </c>
      <c r="P20" s="621">
        <f>'3 Regrese - HDP lin'!$B$34+'3 Regrese - HDP lin'!$B$35*'4 Vnější potenciál'!B20</f>
        <v>365733.2354353848</v>
      </c>
      <c r="Q20" s="1270">
        <f>P20/P19-1</f>
        <v>0.037496751340965195</v>
      </c>
      <c r="R20" s="1287">
        <v>0.0615</v>
      </c>
      <c r="S20" s="1283">
        <f>P20*R20</f>
        <v>22492.593979276164</v>
      </c>
      <c r="T20" s="1284">
        <f t="shared" si="5"/>
        <v>0.037496751340965195</v>
      </c>
    </row>
    <row r="21" spans="3:17" ht="13.5" thickBot="1">
      <c r="C21" s="1233"/>
      <c r="H21" s="1244"/>
      <c r="I21" s="1244"/>
      <c r="J21" s="616" t="s">
        <v>721</v>
      </c>
      <c r="K21" s="617"/>
      <c r="L21" s="1272">
        <f>'1 Regrese - Čas lin'!B21</f>
        <v>0.9523083633978717</v>
      </c>
      <c r="M21" s="619"/>
      <c r="N21" s="618">
        <f>'2 Regrese - HDP log'!B21</f>
        <v>0.9801772080402632</v>
      </c>
      <c r="O21" s="619"/>
      <c r="P21" s="618">
        <f>'3 Regrese - HDP lin'!B21</f>
        <v>0.9598407511483098</v>
      </c>
      <c r="Q21" s="1273"/>
    </row>
    <row r="22" spans="1:17" ht="13.5" thickBot="1">
      <c r="A22" s="1232" t="s">
        <v>706</v>
      </c>
      <c r="H22" s="1244"/>
      <c r="I22" s="1244"/>
      <c r="J22" s="1244"/>
      <c r="K22" s="1244"/>
      <c r="L22" s="1245"/>
      <c r="M22" s="1246"/>
      <c r="N22" s="1245"/>
      <c r="O22" s="1246"/>
      <c r="P22" s="1245"/>
      <c r="Q22" s="1246"/>
    </row>
    <row r="23" spans="1:20" ht="21.75">
      <c r="A23" s="1242" t="s">
        <v>705</v>
      </c>
      <c r="B23" s="1456">
        <f>(B16/B5)^(1/11)-1</f>
        <v>0.07338813705388558</v>
      </c>
      <c r="C23" s="1457"/>
      <c r="D23" s="1456">
        <f>(D16/D5)^(1/11)-1</f>
        <v>0.05753484164588607</v>
      </c>
      <c r="E23" s="1457"/>
      <c r="F23" s="1243">
        <f>GEOMEAN(F6:F16)</f>
        <v>1.043035663872622</v>
      </c>
      <c r="G23" s="615"/>
      <c r="H23" s="1274">
        <f>(H16/H5)^(1/11)-1</f>
        <v>0.03979496360739021</v>
      </c>
      <c r="I23" s="1275">
        <f>(I16/I5)^(1/11)-1</f>
        <v>-0.000594043751276252</v>
      </c>
      <c r="J23" s="1463">
        <f>(J16/J5)^(1/11)-1</f>
        <v>0.03917727990665054</v>
      </c>
      <c r="K23" s="1464"/>
      <c r="L23" s="1462"/>
      <c r="M23" s="1457"/>
      <c r="N23" s="1456"/>
      <c r="O23" s="1457"/>
      <c r="P23" s="1276"/>
      <c r="Q23" s="1276"/>
      <c r="R23" s="817"/>
      <c r="S23" s="1452">
        <f>(S16/S5)^(1/11)-1</f>
        <v>0.04010692260178539</v>
      </c>
      <c r="T23" s="1453"/>
    </row>
    <row r="24" spans="1:22" ht="22.5" thickBot="1">
      <c r="A24" s="1240" t="s">
        <v>704</v>
      </c>
      <c r="B24" s="1458">
        <f>(B20/B16)^(1/4)-1</f>
        <v>0.06412169084890262</v>
      </c>
      <c r="C24" s="1459"/>
      <c r="D24" s="1458">
        <f>(D20/D16)^(1/4)-1</f>
        <v>0.07123670458620324</v>
      </c>
      <c r="E24" s="1459"/>
      <c r="F24" s="1241">
        <f>GEOMEAN(F17:F20)</f>
        <v>1.0219941444155154</v>
      </c>
      <c r="G24" s="615"/>
      <c r="H24" s="1277"/>
      <c r="I24" s="1278"/>
      <c r="J24" s="1279"/>
      <c r="K24" s="1280"/>
      <c r="L24" s="1460">
        <f>(L20/J16)^(1/4)-1</f>
        <v>0.023009222718528344</v>
      </c>
      <c r="M24" s="1461"/>
      <c r="N24" s="1444">
        <f>(N20/J16)^(1/4)-1</f>
        <v>0.023109423931739315</v>
      </c>
      <c r="O24" s="1445"/>
      <c r="P24" s="1449">
        <f>(P20/J16)^(1/4)-1</f>
        <v>0.03953565302618944</v>
      </c>
      <c r="Q24" s="1450"/>
      <c r="R24" s="124"/>
      <c r="S24" s="1454">
        <f>(S20/S16)^(1/4)-1</f>
        <v>0.040382525950891424</v>
      </c>
      <c r="T24" s="1455"/>
      <c r="V24" s="24"/>
    </row>
    <row r="25" spans="8:18" ht="12.75">
      <c r="H25" s="25"/>
      <c r="I25" s="25"/>
      <c r="J25" s="25"/>
      <c r="K25" s="25"/>
      <c r="L25" s="24"/>
      <c r="M25" s="24"/>
      <c r="N25" s="24"/>
      <c r="O25" s="24"/>
      <c r="P25" s="24"/>
      <c r="Q25" s="24"/>
      <c r="R25" s="24"/>
    </row>
    <row r="26" spans="2:18" ht="12.75">
      <c r="B26" s="1" t="s">
        <v>727</v>
      </c>
      <c r="F26" t="s">
        <v>723</v>
      </c>
      <c r="H26" s="25"/>
      <c r="I26" s="25"/>
      <c r="J26" s="25"/>
      <c r="K26" s="25"/>
      <c r="L26" s="24"/>
      <c r="M26" s="1235"/>
      <c r="N26" s="24"/>
      <c r="O26" s="24"/>
      <c r="P26" s="24"/>
      <c r="Q26" s="24"/>
      <c r="R26" s="24"/>
    </row>
    <row r="27" spans="8:18" ht="12.75">
      <c r="H27" s="25"/>
      <c r="I27" s="25"/>
      <c r="J27" s="25"/>
      <c r="K27" s="25"/>
      <c r="L27" s="24"/>
      <c r="M27" s="1235"/>
      <c r="N27" s="24"/>
      <c r="O27" s="24"/>
      <c r="P27" s="24"/>
      <c r="Q27" s="24"/>
      <c r="R27" s="24"/>
    </row>
    <row r="28" spans="2:13" ht="12.75">
      <c r="B28" s="1" t="s">
        <v>728</v>
      </c>
      <c r="F28" t="s">
        <v>724</v>
      </c>
      <c r="M28" s="1235"/>
    </row>
    <row r="29" ht="12.75">
      <c r="M29" s="1235"/>
    </row>
    <row r="30" spans="2:13" ht="12.75">
      <c r="B30" s="1" t="s">
        <v>729</v>
      </c>
      <c r="F30" t="s">
        <v>731</v>
      </c>
      <c r="M30" s="1234"/>
    </row>
    <row r="32" spans="2:4" ht="14.25">
      <c r="B32" s="1" t="s">
        <v>538</v>
      </c>
      <c r="D32" t="s">
        <v>725</v>
      </c>
    </row>
  </sheetData>
  <sheetProtection/>
  <mergeCells count="16">
    <mergeCell ref="A3:F3"/>
    <mergeCell ref="B24:C24"/>
    <mergeCell ref="D24:E24"/>
    <mergeCell ref="L24:M24"/>
    <mergeCell ref="B23:C23"/>
    <mergeCell ref="D23:E23"/>
    <mergeCell ref="L23:M23"/>
    <mergeCell ref="H3:K3"/>
    <mergeCell ref="J23:K23"/>
    <mergeCell ref="N24:O24"/>
    <mergeCell ref="R3:T3"/>
    <mergeCell ref="P24:Q24"/>
    <mergeCell ref="S1:T1"/>
    <mergeCell ref="S23:T23"/>
    <mergeCell ref="S24:T24"/>
    <mergeCell ref="N23:O23"/>
  </mergeCells>
  <hyperlinks>
    <hyperlink ref="S1" location="Obsah!A1" display="Skok na obsah"/>
  </hyperlinks>
  <printOptions/>
  <pageMargins left="0.3937007874015748" right="0.3937007874015748" top="0.7874015748031497" bottom="0.7874015748031497" header="0.5118110236220472" footer="0.5118110236220472"/>
  <pageSetup horizontalDpi="600" verticalDpi="600" orientation="landscape" paperSize="9" scale="90" r:id="rId2"/>
  <headerFooter alignWithMargins="0">
    <oddHeader>&amp;LMařík, M. a kol.: Metody oceňování podniku - 1. díl, Ekopress 2011&amp;RPříklad UNIPO, a.s.</oddHeader>
    <oddFooter>&amp;C&amp;A&amp;R&amp;"Arial CE,kurzíva"© M. Mařík, P. Maříková</oddFooter>
  </headerFooter>
  <ignoredErrors>
    <ignoredError sqref="F23:F24" formulaRange="1"/>
  </ignoredErrors>
  <drawing r:id="rId1"/>
</worksheet>
</file>

<file path=xl/worksheets/sheet6.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00390625" defaultRowHeight="12.75"/>
  <cols>
    <col min="1" max="1" width="3.875" style="0" customWidth="1"/>
    <col min="2" max="2" width="4.125" style="0" customWidth="1"/>
    <col min="3" max="3" width="24.875" style="0" customWidth="1"/>
    <col min="4" max="4" width="6.375" style="0" customWidth="1"/>
    <col min="5" max="11" width="5.375" style="0" customWidth="1"/>
    <col min="12" max="12" width="6.125" style="0" customWidth="1"/>
    <col min="13" max="13" width="6.375" style="0" customWidth="1"/>
  </cols>
  <sheetData>
    <row r="1" spans="1:13" ht="17.25" customHeight="1">
      <c r="A1" s="1169" t="s">
        <v>700</v>
      </c>
      <c r="L1" s="1465" t="s">
        <v>672</v>
      </c>
      <c r="M1" s="1465"/>
    </row>
    <row r="2" ht="9.75" customHeight="1" thickBot="1">
      <c r="A2" s="1169"/>
    </row>
    <row r="3" spans="1:13" ht="32.25" customHeight="1" thickBot="1" thickTop="1">
      <c r="A3" s="1478" t="s">
        <v>675</v>
      </c>
      <c r="B3" s="1479"/>
      <c r="C3" s="1480"/>
      <c r="D3" s="1472" t="s">
        <v>322</v>
      </c>
      <c r="E3" s="1475" t="s">
        <v>701</v>
      </c>
      <c r="F3" s="1476"/>
      <c r="G3" s="1476"/>
      <c r="H3" s="1476"/>
      <c r="I3" s="1476"/>
      <c r="J3" s="1476"/>
      <c r="K3" s="1477"/>
      <c r="L3" s="1170" t="s">
        <v>676</v>
      </c>
      <c r="M3" s="1170" t="s">
        <v>322</v>
      </c>
    </row>
    <row r="4" spans="1:13" ht="17.25" thickBot="1" thickTop="1">
      <c r="A4" s="1481"/>
      <c r="B4" s="1482"/>
      <c r="C4" s="1483"/>
      <c r="D4" s="1473"/>
      <c r="E4" s="1171" t="s">
        <v>677</v>
      </c>
      <c r="F4" s="1172"/>
      <c r="G4" s="1172"/>
      <c r="H4" s="1173" t="s">
        <v>194</v>
      </c>
      <c r="I4" s="1174"/>
      <c r="J4" s="1174"/>
      <c r="K4" s="1175" t="s">
        <v>678</v>
      </c>
      <c r="L4" s="1176"/>
      <c r="M4" s="1177" t="s">
        <v>679</v>
      </c>
    </row>
    <row r="5" spans="1:13" ht="17.25" thickBot="1" thickTop="1">
      <c r="A5" s="1484"/>
      <c r="B5" s="1485"/>
      <c r="C5" s="1486"/>
      <c r="D5" s="1474"/>
      <c r="E5" s="1178">
        <v>0</v>
      </c>
      <c r="F5" s="1178">
        <v>1</v>
      </c>
      <c r="G5" s="1179">
        <v>2</v>
      </c>
      <c r="H5" s="1180">
        <v>3</v>
      </c>
      <c r="I5" s="1181">
        <v>4</v>
      </c>
      <c r="J5" s="1178">
        <v>5</v>
      </c>
      <c r="K5" s="1182">
        <v>6</v>
      </c>
      <c r="L5" s="1182"/>
      <c r="M5" s="1182" t="s">
        <v>676</v>
      </c>
    </row>
    <row r="6" spans="1:13" ht="20.25" thickTop="1">
      <c r="A6" s="1466" t="s">
        <v>680</v>
      </c>
      <c r="B6" s="1183">
        <v>1</v>
      </c>
      <c r="C6" s="1225" t="s">
        <v>681</v>
      </c>
      <c r="D6" s="1184">
        <v>3</v>
      </c>
      <c r="E6" s="1185">
        <f aca="true" t="shared" si="0" ref="E6:K15">IF(E$5=$L6,"x","")</f>
      </c>
      <c r="F6" s="1185">
        <f t="shared" si="0"/>
      </c>
      <c r="G6" s="1186" t="str">
        <f t="shared" si="0"/>
        <v>x</v>
      </c>
      <c r="H6" s="1187">
        <f t="shared" si="0"/>
      </c>
      <c r="I6" s="1188">
        <f t="shared" si="0"/>
      </c>
      <c r="J6" s="1185">
        <f t="shared" si="0"/>
      </c>
      <c r="K6" s="1189">
        <f t="shared" si="0"/>
      </c>
      <c r="L6" s="1184">
        <v>2</v>
      </c>
      <c r="M6" s="1184">
        <f aca="true" t="shared" si="1" ref="M6:M21">D6*L6</f>
        <v>6</v>
      </c>
    </row>
    <row r="7" spans="1:13" ht="19.5">
      <c r="A7" s="1467"/>
      <c r="B7" s="1190">
        <v>2</v>
      </c>
      <c r="C7" s="1226" t="s">
        <v>682</v>
      </c>
      <c r="D7" s="1191">
        <v>1</v>
      </c>
      <c r="E7" s="1185">
        <f t="shared" si="0"/>
      </c>
      <c r="F7" s="1185">
        <f t="shared" si="0"/>
      </c>
      <c r="G7" s="1192">
        <f t="shared" si="0"/>
      </c>
      <c r="H7" s="1187">
        <f t="shared" si="0"/>
      </c>
      <c r="I7" s="1193" t="str">
        <f t="shared" si="0"/>
        <v>x</v>
      </c>
      <c r="J7" s="1185">
        <f t="shared" si="0"/>
      </c>
      <c r="K7" s="1189">
        <f t="shared" si="0"/>
      </c>
      <c r="L7" s="1191">
        <v>4</v>
      </c>
      <c r="M7" s="1191">
        <f t="shared" si="1"/>
        <v>4</v>
      </c>
    </row>
    <row r="8" spans="1:13" ht="19.5">
      <c r="A8" s="1467"/>
      <c r="B8" s="1190">
        <v>3</v>
      </c>
      <c r="C8" s="1226" t="s">
        <v>683</v>
      </c>
      <c r="D8" s="1191">
        <v>1</v>
      </c>
      <c r="E8" s="1185">
        <f t="shared" si="0"/>
      </c>
      <c r="F8" s="1185">
        <f t="shared" si="0"/>
      </c>
      <c r="G8" s="1192">
        <f t="shared" si="0"/>
      </c>
      <c r="H8" s="1187">
        <f t="shared" si="0"/>
      </c>
      <c r="I8" s="1193" t="str">
        <f t="shared" si="0"/>
        <v>x</v>
      </c>
      <c r="J8" s="1185">
        <f t="shared" si="0"/>
      </c>
      <c r="K8" s="1189">
        <f t="shared" si="0"/>
      </c>
      <c r="L8" s="1191">
        <v>4</v>
      </c>
      <c r="M8" s="1191">
        <f t="shared" si="1"/>
        <v>4</v>
      </c>
    </row>
    <row r="9" spans="1:13" ht="19.5">
      <c r="A9" s="1467"/>
      <c r="B9" s="1190">
        <v>4</v>
      </c>
      <c r="C9" s="1226" t="s">
        <v>684</v>
      </c>
      <c r="D9" s="1191">
        <v>2</v>
      </c>
      <c r="E9" s="1185">
        <f t="shared" si="0"/>
      </c>
      <c r="F9" s="1185">
        <f t="shared" si="0"/>
      </c>
      <c r="G9" s="1192">
        <f t="shared" si="0"/>
      </c>
      <c r="H9" s="1187">
        <f t="shared" si="0"/>
      </c>
      <c r="I9" s="1193">
        <f t="shared" si="0"/>
      </c>
      <c r="J9" s="1185" t="str">
        <f t="shared" si="0"/>
        <v>x</v>
      </c>
      <c r="K9" s="1189">
        <f t="shared" si="0"/>
      </c>
      <c r="L9" s="1191">
        <v>5</v>
      </c>
      <c r="M9" s="1191">
        <f t="shared" si="1"/>
        <v>10</v>
      </c>
    </row>
    <row r="10" spans="1:13" ht="19.5">
      <c r="A10" s="1467"/>
      <c r="B10" s="1190">
        <v>5</v>
      </c>
      <c r="C10" s="1226" t="s">
        <v>778</v>
      </c>
      <c r="D10" s="1191">
        <v>1</v>
      </c>
      <c r="E10" s="1185">
        <f t="shared" si="0"/>
      </c>
      <c r="F10" s="1185">
        <f t="shared" si="0"/>
      </c>
      <c r="G10" s="1192">
        <f t="shared" si="0"/>
      </c>
      <c r="H10" s="1187">
        <f t="shared" si="0"/>
      </c>
      <c r="I10" s="1193">
        <f t="shared" si="0"/>
      </c>
      <c r="J10" s="1185" t="str">
        <f t="shared" si="0"/>
        <v>x</v>
      </c>
      <c r="K10" s="1189">
        <f t="shared" si="0"/>
      </c>
      <c r="L10" s="1191">
        <v>5</v>
      </c>
      <c r="M10" s="1191">
        <f t="shared" si="1"/>
        <v>5</v>
      </c>
    </row>
    <row r="11" spans="1:13" ht="19.5">
      <c r="A11" s="1467"/>
      <c r="B11" s="1190">
        <v>6</v>
      </c>
      <c r="C11" s="1226" t="s">
        <v>685</v>
      </c>
      <c r="D11" s="1191">
        <v>2</v>
      </c>
      <c r="E11" s="1185">
        <f t="shared" si="0"/>
      </c>
      <c r="F11" s="1185">
        <f t="shared" si="0"/>
      </c>
      <c r="G11" s="1192" t="str">
        <f t="shared" si="0"/>
        <v>x</v>
      </c>
      <c r="H11" s="1187">
        <f t="shared" si="0"/>
      </c>
      <c r="I11" s="1193">
        <f t="shared" si="0"/>
      </c>
      <c r="J11" s="1185">
        <f t="shared" si="0"/>
      </c>
      <c r="K11" s="1189">
        <f t="shared" si="0"/>
      </c>
      <c r="L11" s="1191">
        <v>2</v>
      </c>
      <c r="M11" s="1191">
        <f t="shared" si="1"/>
        <v>4</v>
      </c>
    </row>
    <row r="12" spans="1:13" ht="19.5" customHeight="1">
      <c r="A12" s="1467"/>
      <c r="B12" s="1190">
        <v>7</v>
      </c>
      <c r="C12" s="1226" t="s">
        <v>686</v>
      </c>
      <c r="D12" s="1191">
        <v>1</v>
      </c>
      <c r="E12" s="1185">
        <f t="shared" si="0"/>
      </c>
      <c r="F12" s="1185">
        <f t="shared" si="0"/>
      </c>
      <c r="G12" s="1192">
        <f t="shared" si="0"/>
      </c>
      <c r="H12" s="1187" t="str">
        <f t="shared" si="0"/>
        <v>x</v>
      </c>
      <c r="I12" s="1193">
        <f t="shared" si="0"/>
      </c>
      <c r="J12" s="1185">
        <f t="shared" si="0"/>
      </c>
      <c r="K12" s="1189">
        <f t="shared" si="0"/>
      </c>
      <c r="L12" s="1191">
        <v>3</v>
      </c>
      <c r="M12" s="1191">
        <f t="shared" si="1"/>
        <v>3</v>
      </c>
    </row>
    <row r="13" spans="1:13" ht="30">
      <c r="A13" s="1467"/>
      <c r="B13" s="1190">
        <v>8</v>
      </c>
      <c r="C13" s="1226" t="s">
        <v>687</v>
      </c>
      <c r="D13" s="1191">
        <v>1</v>
      </c>
      <c r="E13" s="1185">
        <f t="shared" si="0"/>
      </c>
      <c r="F13" s="1185">
        <f t="shared" si="0"/>
      </c>
      <c r="G13" s="1192">
        <f t="shared" si="0"/>
      </c>
      <c r="H13" s="1187" t="str">
        <f t="shared" si="0"/>
        <v>x</v>
      </c>
      <c r="I13" s="1193">
        <f t="shared" si="0"/>
      </c>
      <c r="J13" s="1185">
        <f t="shared" si="0"/>
      </c>
      <c r="K13" s="1189">
        <f t="shared" si="0"/>
      </c>
      <c r="L13" s="1191">
        <v>3</v>
      </c>
      <c r="M13" s="1191">
        <f t="shared" si="1"/>
        <v>3</v>
      </c>
    </row>
    <row r="14" spans="1:13" ht="19.5">
      <c r="A14" s="1467"/>
      <c r="B14" s="1190">
        <v>9</v>
      </c>
      <c r="C14" s="1226" t="s">
        <v>688</v>
      </c>
      <c r="D14" s="1191">
        <v>1</v>
      </c>
      <c r="E14" s="1185">
        <f t="shared" si="0"/>
      </c>
      <c r="F14" s="1185">
        <f t="shared" si="0"/>
      </c>
      <c r="G14" s="1192">
        <f t="shared" si="0"/>
      </c>
      <c r="H14" s="1187">
        <f t="shared" si="0"/>
      </c>
      <c r="I14" s="1193">
        <f t="shared" si="0"/>
      </c>
      <c r="J14" s="1185" t="str">
        <f t="shared" si="0"/>
        <v>x</v>
      </c>
      <c r="K14" s="1189">
        <f t="shared" si="0"/>
      </c>
      <c r="L14" s="1191">
        <v>5</v>
      </c>
      <c r="M14" s="1191">
        <f t="shared" si="1"/>
        <v>5</v>
      </c>
    </row>
    <row r="15" spans="1:13" ht="19.5">
      <c r="A15" s="1467"/>
      <c r="B15" s="1190">
        <v>10</v>
      </c>
      <c r="C15" s="1226" t="s">
        <v>689</v>
      </c>
      <c r="D15" s="1191">
        <v>2</v>
      </c>
      <c r="E15" s="1185">
        <f t="shared" si="0"/>
      </c>
      <c r="F15" s="1185">
        <f t="shared" si="0"/>
      </c>
      <c r="G15" s="1192">
        <f t="shared" si="0"/>
      </c>
      <c r="H15" s="1187" t="str">
        <f t="shared" si="0"/>
        <v>x</v>
      </c>
      <c r="I15" s="1193">
        <f t="shared" si="0"/>
      </c>
      <c r="J15" s="1185">
        <f t="shared" si="0"/>
      </c>
      <c r="K15" s="1189">
        <f t="shared" si="0"/>
      </c>
      <c r="L15" s="1191">
        <v>3</v>
      </c>
      <c r="M15" s="1191">
        <f t="shared" si="1"/>
        <v>6</v>
      </c>
    </row>
    <row r="16" spans="1:13" ht="20.25" thickBot="1">
      <c r="A16" s="1467"/>
      <c r="B16" s="1190">
        <v>11</v>
      </c>
      <c r="C16" s="1227" t="s">
        <v>690</v>
      </c>
      <c r="D16" s="1194">
        <v>1</v>
      </c>
      <c r="E16" s="1195">
        <f aca="true" t="shared" si="2" ref="E16:K21">IF(E$5=$L16,"x","")</f>
      </c>
      <c r="F16" s="1195">
        <f t="shared" si="2"/>
      </c>
      <c r="G16" s="1196">
        <f t="shared" si="2"/>
      </c>
      <c r="H16" s="1197">
        <f t="shared" si="2"/>
      </c>
      <c r="I16" s="1198">
        <f t="shared" si="2"/>
      </c>
      <c r="J16" s="1195" t="str">
        <f t="shared" si="2"/>
        <v>x</v>
      </c>
      <c r="K16" s="1199">
        <f t="shared" si="2"/>
      </c>
      <c r="L16" s="1194">
        <v>5</v>
      </c>
      <c r="M16" s="1194">
        <f t="shared" si="1"/>
        <v>5</v>
      </c>
    </row>
    <row r="17" spans="1:13" ht="20.25" thickTop="1">
      <c r="A17" s="1466" t="s">
        <v>691</v>
      </c>
      <c r="B17" s="1183">
        <v>12</v>
      </c>
      <c r="C17" s="1225" t="s">
        <v>692</v>
      </c>
      <c r="D17" s="1184">
        <v>3</v>
      </c>
      <c r="E17" s="1200">
        <f t="shared" si="2"/>
      </c>
      <c r="F17" s="1200">
        <f t="shared" si="2"/>
      </c>
      <c r="G17" s="1186">
        <f t="shared" si="2"/>
      </c>
      <c r="H17" s="1201">
        <f t="shared" si="2"/>
      </c>
      <c r="I17" s="1188">
        <f t="shared" si="2"/>
      </c>
      <c r="J17" s="1200" t="str">
        <f t="shared" si="2"/>
        <v>x</v>
      </c>
      <c r="K17" s="1202">
        <f t="shared" si="2"/>
      </c>
      <c r="L17" s="1184">
        <v>5</v>
      </c>
      <c r="M17" s="1184">
        <f t="shared" si="1"/>
        <v>15</v>
      </c>
    </row>
    <row r="18" spans="1:13" ht="19.5">
      <c r="A18" s="1467"/>
      <c r="B18" s="1190">
        <v>13</v>
      </c>
      <c r="C18" s="1226" t="s">
        <v>693</v>
      </c>
      <c r="D18" s="1191">
        <v>2</v>
      </c>
      <c r="E18" s="1185">
        <f t="shared" si="2"/>
      </c>
      <c r="F18" s="1185">
        <f t="shared" si="2"/>
      </c>
      <c r="G18" s="1192">
        <f t="shared" si="2"/>
      </c>
      <c r="H18" s="1187">
        <f t="shared" si="2"/>
      </c>
      <c r="I18" s="1193">
        <f t="shared" si="2"/>
      </c>
      <c r="J18" s="1185" t="str">
        <f t="shared" si="2"/>
        <v>x</v>
      </c>
      <c r="K18" s="1189">
        <f t="shared" si="2"/>
      </c>
      <c r="L18" s="1191">
        <v>5</v>
      </c>
      <c r="M18" s="1191">
        <f t="shared" si="1"/>
        <v>10</v>
      </c>
    </row>
    <row r="19" spans="1:13" ht="19.5">
      <c r="A19" s="1467"/>
      <c r="B19" s="1190">
        <v>14</v>
      </c>
      <c r="C19" s="1226" t="s">
        <v>694</v>
      </c>
      <c r="D19" s="1191">
        <v>1</v>
      </c>
      <c r="E19" s="1185">
        <f t="shared" si="2"/>
      </c>
      <c r="F19" s="1185">
        <f t="shared" si="2"/>
      </c>
      <c r="G19" s="1192">
        <f t="shared" si="2"/>
      </c>
      <c r="H19" s="1187">
        <f t="shared" si="2"/>
      </c>
      <c r="I19" s="1193" t="str">
        <f t="shared" si="2"/>
        <v>x</v>
      </c>
      <c r="J19" s="1185">
        <f t="shared" si="2"/>
      </c>
      <c r="K19" s="1189">
        <f t="shared" si="2"/>
      </c>
      <c r="L19" s="1191">
        <v>4</v>
      </c>
      <c r="M19" s="1191">
        <f t="shared" si="1"/>
        <v>4</v>
      </c>
    </row>
    <row r="20" spans="1:13" ht="19.5">
      <c r="A20" s="1467"/>
      <c r="B20" s="1190">
        <v>15</v>
      </c>
      <c r="C20" s="1226" t="s">
        <v>695</v>
      </c>
      <c r="D20" s="1191">
        <v>2</v>
      </c>
      <c r="E20" s="1185">
        <f t="shared" si="2"/>
      </c>
      <c r="F20" s="1185">
        <f t="shared" si="2"/>
      </c>
      <c r="G20" s="1192">
        <f t="shared" si="2"/>
      </c>
      <c r="H20" s="1187" t="str">
        <f t="shared" si="2"/>
        <v>x</v>
      </c>
      <c r="I20" s="1193">
        <f t="shared" si="2"/>
      </c>
      <c r="J20" s="1185">
        <f t="shared" si="2"/>
      </c>
      <c r="K20" s="1189">
        <f t="shared" si="2"/>
      </c>
      <c r="L20" s="1191">
        <v>3</v>
      </c>
      <c r="M20" s="1191">
        <f t="shared" si="1"/>
        <v>6</v>
      </c>
    </row>
    <row r="21" spans="1:13" ht="20.25" thickBot="1">
      <c r="A21" s="1468"/>
      <c r="B21" s="1203">
        <v>16</v>
      </c>
      <c r="C21" s="1228" t="s">
        <v>696</v>
      </c>
      <c r="D21" s="1204">
        <v>1</v>
      </c>
      <c r="E21" s="1205">
        <f t="shared" si="2"/>
      </c>
      <c r="F21" s="1205">
        <f t="shared" si="2"/>
      </c>
      <c r="G21" s="1206">
        <f t="shared" si="2"/>
      </c>
      <c r="H21" s="1207">
        <f t="shared" si="2"/>
      </c>
      <c r="I21" s="1208" t="str">
        <f t="shared" si="2"/>
        <v>x</v>
      </c>
      <c r="J21" s="1205">
        <f t="shared" si="2"/>
      </c>
      <c r="K21" s="1209">
        <f t="shared" si="2"/>
      </c>
      <c r="L21" s="1204">
        <v>4</v>
      </c>
      <c r="M21" s="1204">
        <f t="shared" si="1"/>
        <v>4</v>
      </c>
    </row>
    <row r="22" spans="1:13" ht="17.25" thickBot="1" thickTop="1">
      <c r="A22" s="1469" t="s">
        <v>155</v>
      </c>
      <c r="B22" s="1470"/>
      <c r="C22" s="1471"/>
      <c r="D22" s="1210">
        <f>SUM(D6:D21)</f>
        <v>25</v>
      </c>
      <c r="E22" s="1211"/>
      <c r="F22" s="1211"/>
      <c r="G22" s="1212"/>
      <c r="H22" s="1213"/>
      <c r="I22" s="1214"/>
      <c r="J22" s="1211"/>
      <c r="K22" s="1215"/>
      <c r="L22" s="1210"/>
      <c r="M22" s="1210">
        <f>SUM(M6:M21)</f>
        <v>94</v>
      </c>
    </row>
    <row r="23" ht="17.25" customHeight="1" thickTop="1"/>
    <row r="24" spans="1:4" ht="15.75">
      <c r="A24" s="1216" t="s">
        <v>697</v>
      </c>
      <c r="B24" s="1217"/>
      <c r="C24" s="1217"/>
      <c r="D24" s="1218">
        <f>D22*K5</f>
        <v>150</v>
      </c>
    </row>
    <row r="25" spans="1:4" ht="15.75">
      <c r="A25" s="1219" t="s">
        <v>698</v>
      </c>
      <c r="B25" s="1220"/>
      <c r="C25" s="1220"/>
      <c r="D25" s="1221">
        <f>M22</f>
        <v>94</v>
      </c>
    </row>
    <row r="26" spans="1:4" ht="15.75">
      <c r="A26" s="1222" t="s">
        <v>699</v>
      </c>
      <c r="B26" s="1223"/>
      <c r="C26" s="1223"/>
      <c r="D26" s="1224">
        <f>D25/D24</f>
        <v>0.6266666666666667</v>
      </c>
    </row>
  </sheetData>
  <sheetProtection/>
  <mergeCells count="7">
    <mergeCell ref="L1:M1"/>
    <mergeCell ref="A17:A21"/>
    <mergeCell ref="A22:C22"/>
    <mergeCell ref="D3:D5"/>
    <mergeCell ref="E3:K3"/>
    <mergeCell ref="A3:C5"/>
    <mergeCell ref="A6:A16"/>
  </mergeCells>
  <hyperlinks>
    <hyperlink ref="L1" location="Obsah!A1" display="Skok na obsah"/>
  </hyperlinks>
  <printOptions/>
  <pageMargins left="0.5905511811023623" right="0.5905511811023623" top="0.984251968503937" bottom="0.984251968503937" header="0.5118110236220472" footer="0.5118110236220472"/>
  <pageSetup blackAndWhite="1" horizontalDpi="300" verticalDpi="300" orientation="portrait" paperSize="9" r:id="rId1"/>
  <headerFooter alignWithMargins="0">
    <oddHeader>&amp;LMařík, M. a kol.: Metody oceňování podniku - 1. díl, Ekopress 2011&amp;RPříklad UNIPO, a.s.</oddHeader>
    <oddFooter>&amp;C&amp;A&amp;R© M. Mařík, P. Maříková</oddFooter>
  </headerFooter>
</worksheet>
</file>

<file path=xl/worksheets/sheet7.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9.00390625" defaultRowHeight="12.75"/>
  <cols>
    <col min="2" max="2" width="10.875" style="0" customWidth="1"/>
    <col min="4" max="4" width="11.75390625" style="0" customWidth="1"/>
    <col min="5" max="5" width="14.75390625" style="0" customWidth="1"/>
    <col min="7" max="7" width="10.375" style="0" customWidth="1"/>
    <col min="8" max="8" width="11.25390625" style="0" customWidth="1"/>
  </cols>
  <sheetData>
    <row r="1" spans="1:9" ht="21" customHeight="1">
      <c r="A1" s="581" t="s">
        <v>541</v>
      </c>
      <c r="H1" s="1167" t="s">
        <v>672</v>
      </c>
      <c r="I1" s="31"/>
    </row>
    <row r="2" ht="13.5" thickBot="1"/>
    <row r="3" spans="1:8" ht="26.25" thickBot="1">
      <c r="A3" s="643" t="s">
        <v>143</v>
      </c>
      <c r="B3" s="605" t="s">
        <v>171</v>
      </c>
      <c r="C3" s="608" t="s">
        <v>196</v>
      </c>
      <c r="D3" s="605" t="s">
        <v>172</v>
      </c>
      <c r="E3" s="611" t="s">
        <v>197</v>
      </c>
      <c r="F3" s="611" t="s">
        <v>170</v>
      </c>
      <c r="G3" s="1487" t="s">
        <v>542</v>
      </c>
      <c r="H3" s="1488"/>
    </row>
    <row r="4" spans="1:16" ht="12.75">
      <c r="A4" s="640">
        <v>1995</v>
      </c>
      <c r="B4" s="626">
        <f>'4 Vnější potenciál'!S5</f>
        <v>12456.8860213745</v>
      </c>
      <c r="C4" s="625"/>
      <c r="D4" s="630">
        <f aca="true" t="shared" si="0" ref="D4:D15">F4/B4</f>
        <v>0.06800254883495599</v>
      </c>
      <c r="E4" s="252"/>
      <c r="F4" s="635">
        <v>847.1</v>
      </c>
      <c r="G4" s="31"/>
      <c r="H4" s="81"/>
      <c r="J4" s="28"/>
      <c r="K4" s="27"/>
      <c r="L4" s="27"/>
      <c r="M4" s="27"/>
      <c r="N4" s="27"/>
      <c r="O4" s="27"/>
      <c r="P4" s="27"/>
    </row>
    <row r="5" spans="1:10" ht="12.75">
      <c r="A5" s="640">
        <v>1996</v>
      </c>
      <c r="B5" s="626">
        <f>'4 Vnější potenciál'!S6</f>
        <v>14130.7710107928</v>
      </c>
      <c r="C5" s="205">
        <f>B5/B4-1</f>
        <v>0.1343742719124279</v>
      </c>
      <c r="D5" s="630">
        <f t="shared" si="0"/>
        <v>0.07002448764078335</v>
      </c>
      <c r="E5" s="210">
        <f>F5/F4-1</f>
        <v>0.16810293944044385</v>
      </c>
      <c r="F5" s="633">
        <v>989.5</v>
      </c>
      <c r="G5" s="89"/>
      <c r="H5" s="81"/>
      <c r="J5" s="28"/>
    </row>
    <row r="6" spans="1:10" ht="12.75">
      <c r="A6" s="640">
        <v>1997</v>
      </c>
      <c r="B6" s="626">
        <f>'4 Vnější potenciál'!S7</f>
        <v>15201.086686304</v>
      </c>
      <c r="C6" s="205">
        <f aca="true" t="shared" si="1" ref="C6:C19">B6/B5-1</f>
        <v>0.0757436147464079</v>
      </c>
      <c r="D6" s="630">
        <f t="shared" si="0"/>
        <v>0.07198169595242565</v>
      </c>
      <c r="E6" s="210">
        <f>F6/F5-1</f>
        <v>0.10581101566447715</v>
      </c>
      <c r="F6" s="633">
        <v>1094.2</v>
      </c>
      <c r="G6" s="89"/>
      <c r="H6" s="81"/>
      <c r="J6" s="28"/>
    </row>
    <row r="7" spans="1:10" ht="12.75">
      <c r="A7" s="640">
        <v>1998</v>
      </c>
      <c r="B7" s="626">
        <f>'4 Vnější potenciál'!S8</f>
        <v>16178.755150603502</v>
      </c>
      <c r="C7" s="205">
        <f t="shared" si="1"/>
        <v>0.06431569561275974</v>
      </c>
      <c r="D7" s="630">
        <f t="shared" si="0"/>
        <v>0.07401063857223493</v>
      </c>
      <c r="E7" s="210">
        <f>F7/F6-1</f>
        <v>0.09431548163041503</v>
      </c>
      <c r="F7" s="633">
        <v>1197.4</v>
      </c>
      <c r="G7" s="89"/>
      <c r="H7" s="81"/>
      <c r="J7" s="28"/>
    </row>
    <row r="8" spans="1:10" ht="12.75">
      <c r="A8" s="640">
        <v>1999</v>
      </c>
      <c r="B8" s="626">
        <f>'4 Vnější potenciál'!S9</f>
        <v>15965.518305072</v>
      </c>
      <c r="C8" s="205">
        <f t="shared" si="1"/>
        <v>-0.013180052701616374</v>
      </c>
      <c r="D8" s="630">
        <f t="shared" si="0"/>
        <v>0.07204275977902948</v>
      </c>
      <c r="E8" s="210">
        <f>F8/F7-1</f>
        <v>-0.039418740604643454</v>
      </c>
      <c r="F8" s="633">
        <v>1150.2</v>
      </c>
      <c r="G8" s="89"/>
      <c r="H8" s="81"/>
      <c r="J8" s="28"/>
    </row>
    <row r="9" spans="1:10" ht="12.75">
      <c r="A9" s="640">
        <v>2000</v>
      </c>
      <c r="B9" s="626">
        <f>'4 Vnější potenciál'!S10</f>
        <v>16161.0068129391</v>
      </c>
      <c r="C9" s="205">
        <f t="shared" si="1"/>
        <v>0.012244419763371983</v>
      </c>
      <c r="D9" s="630">
        <f t="shared" si="0"/>
        <v>0.07327513772544701</v>
      </c>
      <c r="E9" s="210">
        <f>F9/F8-1</f>
        <v>0.029560076508433397</v>
      </c>
      <c r="F9" s="633">
        <v>1184.2</v>
      </c>
      <c r="G9" s="89"/>
      <c r="H9" s="81"/>
      <c r="J9" s="28"/>
    </row>
    <row r="10" spans="1:10" ht="12.75">
      <c r="A10" s="640">
        <v>2001</v>
      </c>
      <c r="B10" s="626">
        <f>'4 Vnější potenciál'!S11</f>
        <v>17009.5874420736</v>
      </c>
      <c r="C10" s="205">
        <f t="shared" si="1"/>
        <v>0.052507906156879613</v>
      </c>
      <c r="D10" s="630">
        <f t="shared" si="0"/>
        <v>0.07879456245275115</v>
      </c>
      <c r="E10" s="210">
        <f aca="true" t="shared" si="2" ref="E10:E15">F10/F9-1</f>
        <v>0.1317877047795979</v>
      </c>
      <c r="F10" s="633">
        <v>1340.263</v>
      </c>
      <c r="G10" s="1288">
        <f>(F15/F4)^(1/11)-1</f>
        <v>0.08389702529891752</v>
      </c>
      <c r="H10" s="638" t="s">
        <v>744</v>
      </c>
      <c r="J10" s="28"/>
    </row>
    <row r="11" spans="1:10" ht="12.75">
      <c r="A11" s="640">
        <v>2002</v>
      </c>
      <c r="B11" s="626">
        <f>'4 Vnější potenciál'!S12</f>
        <v>17167.902641999997</v>
      </c>
      <c r="C11" s="205">
        <f t="shared" si="1"/>
        <v>0.009307409745564987</v>
      </c>
      <c r="D11" s="630">
        <f t="shared" si="0"/>
        <v>0.08384844846908471</v>
      </c>
      <c r="E11" s="210">
        <f t="shared" si="2"/>
        <v>0.07404442262451472</v>
      </c>
      <c r="F11" s="633">
        <f>'8 Výsledovka'!D5/1000</f>
        <v>1439.502</v>
      </c>
      <c r="G11" s="1288"/>
      <c r="H11" s="638"/>
      <c r="J11" s="28"/>
    </row>
    <row r="12" spans="1:10" ht="12.75">
      <c r="A12" s="640">
        <v>2003</v>
      </c>
      <c r="B12" s="626">
        <f>'4 Vnější potenciál'!S13</f>
        <v>17525.7478065575</v>
      </c>
      <c r="C12" s="205">
        <f t="shared" si="1"/>
        <v>0.020843848664545916</v>
      </c>
      <c r="D12" s="630">
        <f t="shared" si="0"/>
        <v>0.10081909311389718</v>
      </c>
      <c r="E12" s="210">
        <f t="shared" si="2"/>
        <v>0.22745921853529905</v>
      </c>
      <c r="F12" s="633">
        <f>'8 Výsledovka'!E5/1000</f>
        <v>1766.93</v>
      </c>
      <c r="G12" s="1288"/>
      <c r="H12" s="638"/>
      <c r="J12" s="28"/>
    </row>
    <row r="13" spans="1:10" ht="12.75">
      <c r="A13" s="640">
        <v>2004</v>
      </c>
      <c r="B13" s="626">
        <f>'4 Vnější potenciál'!S14</f>
        <v>17873.925680603297</v>
      </c>
      <c r="C13" s="205">
        <f t="shared" si="1"/>
        <v>0.01986664865253407</v>
      </c>
      <c r="D13" s="630">
        <f t="shared" si="0"/>
        <v>0.10247429874835294</v>
      </c>
      <c r="E13" s="210">
        <f t="shared" si="2"/>
        <v>0.036610392035903994</v>
      </c>
      <c r="F13" s="633">
        <f>'8 Výsledovka'!F5/1000</f>
        <v>1831.618</v>
      </c>
      <c r="G13" s="1288"/>
      <c r="H13" s="638"/>
      <c r="J13" s="28"/>
    </row>
    <row r="14" spans="1:10" ht="12.75">
      <c r="A14" s="640">
        <v>2005</v>
      </c>
      <c r="B14" s="626">
        <f>'4 Vnější potenciál'!S15</f>
        <v>18202.298720284798</v>
      </c>
      <c r="C14" s="205">
        <f t="shared" si="1"/>
        <v>0.018371623869839038</v>
      </c>
      <c r="D14" s="630">
        <f t="shared" si="0"/>
        <v>0.10402488329069538</v>
      </c>
      <c r="E14" s="210">
        <f t="shared" si="2"/>
        <v>0.03378106133484171</v>
      </c>
      <c r="F14" s="633">
        <f>'8 Výsledovka'!G5/1000</f>
        <v>1893.492</v>
      </c>
      <c r="G14" s="1288"/>
      <c r="H14" s="638"/>
      <c r="J14" s="28"/>
    </row>
    <row r="15" spans="1:10" ht="13.5" thickBot="1">
      <c r="A15" s="640">
        <v>2006</v>
      </c>
      <c r="B15" s="626">
        <f>'4 Vnější potenciál'!S16</f>
        <v>19198.5021464835</v>
      </c>
      <c r="C15" s="205">
        <f t="shared" si="1"/>
        <v>0.054729539466821686</v>
      </c>
      <c r="D15" s="630">
        <f t="shared" si="0"/>
        <v>0.10703741283152118</v>
      </c>
      <c r="E15" s="210">
        <f t="shared" si="2"/>
        <v>0.0852741918106863</v>
      </c>
      <c r="F15" s="633">
        <f>'8 Výsledovka'!H5/1000</f>
        <v>2054.958</v>
      </c>
      <c r="G15" s="1288"/>
      <c r="H15" s="638"/>
      <c r="J15" s="28"/>
    </row>
    <row r="16" spans="1:10" ht="12.75">
      <c r="A16" s="642">
        <v>2007</v>
      </c>
      <c r="B16" s="627">
        <f>'4 Vnější potenciál'!S17</f>
        <v>20252.175629705904</v>
      </c>
      <c r="C16" s="207">
        <f t="shared" si="1"/>
        <v>0.054883108858333474</v>
      </c>
      <c r="D16" s="632">
        <v>0.112</v>
      </c>
      <c r="E16" s="209">
        <f>ROUND((1+C16)*D16/D15-1,3)</f>
        <v>0.104</v>
      </c>
      <c r="F16" s="635">
        <f>F15*(1+E16)</f>
        <v>2268.6736320000005</v>
      </c>
      <c r="G16" s="624"/>
      <c r="H16" s="637"/>
      <c r="J16" s="28"/>
    </row>
    <row r="17" spans="1:10" ht="12.75">
      <c r="A17" s="640">
        <v>2008</v>
      </c>
      <c r="B17" s="628">
        <f>'4 Vnější potenciál'!S18</f>
        <v>20968.09534624452</v>
      </c>
      <c r="C17" s="205">
        <f t="shared" si="1"/>
        <v>0.035350262096705665</v>
      </c>
      <c r="D17" s="630">
        <v>0.115</v>
      </c>
      <c r="E17" s="210">
        <f>ROUND((1+C17)*D17/D16-1,3)</f>
        <v>0.063</v>
      </c>
      <c r="F17" s="633">
        <f>F16*(1+E17)</f>
        <v>2411.6000708160004</v>
      </c>
      <c r="G17" s="220"/>
      <c r="H17" s="638"/>
      <c r="J17" s="28"/>
    </row>
    <row r="18" spans="1:10" ht="12.75">
      <c r="A18" s="640">
        <v>2009</v>
      </c>
      <c r="B18" s="628">
        <f>'4 Vnější potenciál'!S19</f>
        <v>21679.676538942866</v>
      </c>
      <c r="C18" s="205">
        <f t="shared" si="1"/>
        <v>0.03393637719344844</v>
      </c>
      <c r="D18" s="630">
        <v>0.117</v>
      </c>
      <c r="E18" s="210">
        <f>ROUND((1+C18)*D18/D17-1,3)</f>
        <v>0.052</v>
      </c>
      <c r="F18" s="633">
        <f>F17*(1+E18)</f>
        <v>2537.0032744984323</v>
      </c>
      <c r="G18" s="220"/>
      <c r="H18" s="638"/>
      <c r="J18" s="28"/>
    </row>
    <row r="19" spans="1:10" ht="13.5" thickBot="1">
      <c r="A19" s="641">
        <v>2010</v>
      </c>
      <c r="B19" s="629">
        <f>'4 Vnější potenciál'!S20</f>
        <v>22492.593979276164</v>
      </c>
      <c r="C19" s="206">
        <f t="shared" si="1"/>
        <v>0.037496751340965195</v>
      </c>
      <c r="D19" s="631">
        <v>0.118</v>
      </c>
      <c r="E19" s="211">
        <f>ROUND((1+C19)*D19/D18-1,3)</f>
        <v>0.046</v>
      </c>
      <c r="F19" s="634">
        <f>F18*(1+E19)</f>
        <v>2653.7054251253603</v>
      </c>
      <c r="G19" s="622">
        <f>(F19/F15)^(1/4)-1</f>
        <v>0.06601285182633188</v>
      </c>
      <c r="H19" s="636" t="s">
        <v>732</v>
      </c>
      <c r="J19" s="28"/>
    </row>
  </sheetData>
  <sheetProtection/>
  <mergeCells count="1">
    <mergeCell ref="G3:H3"/>
  </mergeCells>
  <hyperlinks>
    <hyperlink ref="H1" location="Obsah!A1" display="Skok na obsah"/>
  </hyperlink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&amp;LMařík, M. a kol.: Metody oceňování podniku - 1. díl, Ekopress 2011&amp;RPříklad UNIPO, a.s.</oddHeader>
    <oddFooter>&amp;C&amp;A&amp;R&amp;"Arial CE,kurzíva"© M. Mařík, P. Maříková</oddFooter>
  </headerFooter>
  <drawing r:id="rId1"/>
</worksheet>
</file>

<file path=xl/worksheets/sheet8.xml><?xml version="1.0" encoding="utf-8"?>
<worksheet xmlns="http://schemas.openxmlformats.org/spreadsheetml/2006/main" xmlns:r="http://schemas.openxmlformats.org/officeDocument/2006/relationships">
  <dimension ref="A1:N50"/>
  <sheetViews>
    <sheetView zoomScalePageLayoutView="0" workbookViewId="0" topLeftCell="A1">
      <selection activeCell="A1" sqref="A1"/>
    </sheetView>
  </sheetViews>
  <sheetFormatPr defaultColWidth="9.00390625" defaultRowHeight="12.75"/>
  <cols>
    <col min="1" max="1" width="8.00390625" style="30" customWidth="1"/>
    <col min="2" max="2" width="40.75390625" style="30" customWidth="1"/>
    <col min="3" max="7" width="9.75390625" style="30" customWidth="1"/>
    <col min="8" max="8" width="9.125" style="647" customWidth="1"/>
    <col min="9" max="16384" width="9.125" style="30" customWidth="1"/>
  </cols>
  <sheetData>
    <row r="1" spans="1:9" ht="21" customHeight="1">
      <c r="A1" s="581" t="s">
        <v>548</v>
      </c>
      <c r="G1" s="1167" t="s">
        <v>672</v>
      </c>
      <c r="I1" s="31"/>
    </row>
    <row r="2" spans="1:9" ht="21" customHeight="1" thickBot="1">
      <c r="A2" s="668" t="s">
        <v>547</v>
      </c>
      <c r="I2" s="31"/>
    </row>
    <row r="3" spans="1:7" ht="13.5" thickBot="1">
      <c r="A3" s="669"/>
      <c r="B3" s="670" t="s">
        <v>208</v>
      </c>
      <c r="C3" s="671">
        <v>2002</v>
      </c>
      <c r="D3" s="672">
        <f>výchozí_rok+1</f>
        <v>2003</v>
      </c>
      <c r="E3" s="672">
        <f>výchozí_rok+2</f>
        <v>2004</v>
      </c>
      <c r="F3" s="672">
        <f>výchozí_rok+3</f>
        <v>2005</v>
      </c>
      <c r="G3" s="673">
        <f>výchozí_rok+4</f>
        <v>2006</v>
      </c>
    </row>
    <row r="4" spans="1:8" s="73" customFormat="1" ht="13.5" thickBot="1">
      <c r="A4" s="674"/>
      <c r="B4" s="675" t="s">
        <v>0</v>
      </c>
      <c r="C4" s="676">
        <f>C5+C14+C24</f>
        <v>535925.503</v>
      </c>
      <c r="D4" s="677">
        <f>D5+D14+D24</f>
        <v>639983.7593707</v>
      </c>
      <c r="E4" s="677">
        <f>E5+E14+E24</f>
        <v>645847.876038169</v>
      </c>
      <c r="F4" s="677">
        <f>F5+F14+F24</f>
        <v>655108.4171160468</v>
      </c>
      <c r="G4" s="678">
        <f>G5+G14+G24</f>
        <v>714388.2639010877</v>
      </c>
      <c r="H4" s="648"/>
    </row>
    <row r="5" spans="1:11" s="73" customFormat="1" ht="12.75">
      <c r="A5" s="685" t="s">
        <v>2</v>
      </c>
      <c r="B5" s="686" t="s">
        <v>381</v>
      </c>
      <c r="C5" s="687">
        <f>C6+C7+C11</f>
        <v>372118</v>
      </c>
      <c r="D5" s="688">
        <f>D6+D7+D11</f>
        <v>438968</v>
      </c>
      <c r="E5" s="688">
        <f>E6+E7+E11</f>
        <v>434654</v>
      </c>
      <c r="F5" s="688">
        <f>F6+F7+F11</f>
        <v>427756</v>
      </c>
      <c r="G5" s="689">
        <f>G6+G7+G11</f>
        <v>460694</v>
      </c>
      <c r="H5" s="649"/>
      <c r="I5" s="650"/>
      <c r="J5" s="650"/>
      <c r="K5" s="650"/>
    </row>
    <row r="6" spans="1:11" s="73" customFormat="1" ht="12.75">
      <c r="A6" s="234" t="s">
        <v>3</v>
      </c>
      <c r="B6" s="235" t="s">
        <v>4</v>
      </c>
      <c r="C6" s="651">
        <v>648</v>
      </c>
      <c r="D6" s="652">
        <v>992</v>
      </c>
      <c r="E6" s="652">
        <v>1702</v>
      </c>
      <c r="F6" s="652">
        <v>1874</v>
      </c>
      <c r="G6" s="653">
        <v>2164</v>
      </c>
      <c r="H6" s="649"/>
      <c r="I6" s="650"/>
      <c r="J6" s="650"/>
      <c r="K6" s="650"/>
    </row>
    <row r="7" spans="1:11" s="73" customFormat="1" ht="12.75">
      <c r="A7" s="222" t="s">
        <v>5</v>
      </c>
      <c r="B7" s="227" t="s">
        <v>6</v>
      </c>
      <c r="C7" s="654">
        <f>SUM(C8:C10)</f>
        <v>370196</v>
      </c>
      <c r="D7" s="655">
        <f>SUM(D8:D10)</f>
        <v>436702</v>
      </c>
      <c r="E7" s="655">
        <f>SUM(E8:E10)</f>
        <v>431678</v>
      </c>
      <c r="F7" s="655">
        <f>SUM(F8:F10)</f>
        <v>416608</v>
      </c>
      <c r="G7" s="656">
        <f>SUM(G8:G10)</f>
        <v>450024</v>
      </c>
      <c r="H7" s="649"/>
      <c r="I7" s="650"/>
      <c r="J7" s="650"/>
      <c r="K7" s="650"/>
    </row>
    <row r="8" spans="1:11" ht="12.75">
      <c r="A8" s="223" t="s">
        <v>7</v>
      </c>
      <c r="B8" s="228" t="s">
        <v>8</v>
      </c>
      <c r="C8" s="200">
        <v>14524</v>
      </c>
      <c r="D8" s="182">
        <v>14524</v>
      </c>
      <c r="E8" s="182">
        <v>14524</v>
      </c>
      <c r="F8" s="182">
        <v>14524</v>
      </c>
      <c r="G8" s="198">
        <v>14524</v>
      </c>
      <c r="H8" s="649"/>
      <c r="I8" s="650"/>
      <c r="J8" s="650"/>
      <c r="K8" s="650"/>
    </row>
    <row r="9" spans="1:14" ht="12.75">
      <c r="A9" s="223" t="s">
        <v>9</v>
      </c>
      <c r="B9" s="228" t="s">
        <v>10</v>
      </c>
      <c r="C9" s="200">
        <v>317466</v>
      </c>
      <c r="D9" s="182">
        <v>352702</v>
      </c>
      <c r="E9" s="182">
        <v>336494</v>
      </c>
      <c r="F9" s="182">
        <v>329438</v>
      </c>
      <c r="G9" s="198">
        <v>351000</v>
      </c>
      <c r="H9" s="649"/>
      <c r="I9" s="649"/>
      <c r="J9" s="649"/>
      <c r="K9" s="649"/>
      <c r="L9" s="650"/>
      <c r="M9" s="650"/>
      <c r="N9" s="650"/>
    </row>
    <row r="10" spans="1:13" ht="12.75">
      <c r="A10" s="236" t="s">
        <v>11</v>
      </c>
      <c r="B10" s="237" t="s">
        <v>174</v>
      </c>
      <c r="C10" s="657">
        <v>38206</v>
      </c>
      <c r="D10" s="658">
        <v>69476</v>
      </c>
      <c r="E10" s="658">
        <v>80660</v>
      </c>
      <c r="F10" s="658">
        <v>72646</v>
      </c>
      <c r="G10" s="659">
        <v>84500</v>
      </c>
      <c r="H10" s="649"/>
      <c r="I10" s="649"/>
      <c r="J10" s="649"/>
      <c r="K10" s="650"/>
      <c r="L10" s="650"/>
      <c r="M10" s="650"/>
    </row>
    <row r="11" spans="1:11" s="73" customFormat="1" ht="12.75">
      <c r="A11" s="222" t="s">
        <v>13</v>
      </c>
      <c r="B11" s="227" t="s">
        <v>14</v>
      </c>
      <c r="C11" s="654">
        <f>C12+C13</f>
        <v>1274</v>
      </c>
      <c r="D11" s="655">
        <f>D12+D13</f>
        <v>1274</v>
      </c>
      <c r="E11" s="655">
        <f>E12+E13</f>
        <v>1274</v>
      </c>
      <c r="F11" s="655">
        <f>F12+F13</f>
        <v>9274</v>
      </c>
      <c r="G11" s="656">
        <f>G12+G13</f>
        <v>8506</v>
      </c>
      <c r="H11" s="649"/>
      <c r="I11" s="650"/>
      <c r="J11" s="650"/>
      <c r="K11" s="650"/>
    </row>
    <row r="12" spans="1:11" ht="12.75">
      <c r="A12" s="223" t="s">
        <v>16</v>
      </c>
      <c r="B12" s="228" t="s">
        <v>17</v>
      </c>
      <c r="C12" s="200">
        <v>1274</v>
      </c>
      <c r="D12" s="182">
        <v>1274</v>
      </c>
      <c r="E12" s="182">
        <v>1274</v>
      </c>
      <c r="F12" s="182">
        <v>1274</v>
      </c>
      <c r="G12" s="198">
        <v>1274</v>
      </c>
      <c r="H12" s="1308"/>
      <c r="I12" s="1308"/>
      <c r="J12" s="1308"/>
      <c r="K12" s="1308"/>
    </row>
    <row r="13" spans="1:11" ht="13.5" thickBot="1">
      <c r="A13" s="230" t="s">
        <v>18</v>
      </c>
      <c r="B13" s="231" t="s">
        <v>173</v>
      </c>
      <c r="C13" s="660">
        <v>0</v>
      </c>
      <c r="D13" s="661">
        <v>0</v>
      </c>
      <c r="E13" s="661">
        <v>0</v>
      </c>
      <c r="F13" s="661">
        <v>8000</v>
      </c>
      <c r="G13" s="662">
        <v>7232</v>
      </c>
      <c r="H13" s="663"/>
      <c r="I13" s="650"/>
      <c r="J13" s="650"/>
      <c r="K13" s="650"/>
    </row>
    <row r="14" spans="1:11" s="73" customFormat="1" ht="12.75">
      <c r="A14" s="685" t="s">
        <v>19</v>
      </c>
      <c r="B14" s="686" t="s">
        <v>20</v>
      </c>
      <c r="C14" s="687">
        <f>C15+C18+C19+C21</f>
        <v>161657.50300000003</v>
      </c>
      <c r="D14" s="688">
        <f>D15+D18+D19+D21</f>
        <v>197267.75937070002</v>
      </c>
      <c r="E14" s="688">
        <f>E15+E18+E19+E21</f>
        <v>207991.87603816905</v>
      </c>
      <c r="F14" s="688">
        <f>F15+F18+F19+F21</f>
        <v>218314.41711604677</v>
      </c>
      <c r="G14" s="689">
        <f>G15+G18+G19+G21</f>
        <v>239808.26390108775</v>
      </c>
      <c r="H14" s="649"/>
      <c r="I14" s="650"/>
      <c r="J14" s="650"/>
      <c r="K14" s="650"/>
    </row>
    <row r="15" spans="1:11" s="73" customFormat="1" ht="12.75">
      <c r="A15" s="222" t="s">
        <v>21</v>
      </c>
      <c r="B15" s="227" t="s">
        <v>22</v>
      </c>
      <c r="C15" s="654">
        <f>C16+C17</f>
        <v>108746</v>
      </c>
      <c r="D15" s="655">
        <f>D16+D17</f>
        <v>137642</v>
      </c>
      <c r="E15" s="655">
        <f>E16+E17</f>
        <v>138478</v>
      </c>
      <c r="F15" s="655">
        <f>F16+F17</f>
        <v>141368</v>
      </c>
      <c r="G15" s="656">
        <f>G16+G17</f>
        <v>146268</v>
      </c>
      <c r="H15" s="649"/>
      <c r="I15" s="650"/>
      <c r="J15" s="650"/>
      <c r="K15" s="650"/>
    </row>
    <row r="16" spans="1:14" ht="12.75">
      <c r="A16" s="223" t="s">
        <v>23</v>
      </c>
      <c r="B16" s="228" t="s">
        <v>24</v>
      </c>
      <c r="C16" s="200">
        <v>1998</v>
      </c>
      <c r="D16" s="182">
        <v>1896</v>
      </c>
      <c r="E16" s="182">
        <v>2038</v>
      </c>
      <c r="F16" s="182">
        <v>2258</v>
      </c>
      <c r="G16" s="198">
        <v>1990</v>
      </c>
      <c r="H16" s="1314"/>
      <c r="I16" s="650"/>
      <c r="J16" s="650"/>
      <c r="K16" s="650"/>
      <c r="L16" s="650"/>
      <c r="M16" s="650"/>
      <c r="N16" s="650"/>
    </row>
    <row r="17" spans="1:13" ht="12.75">
      <c r="A17" s="236" t="s">
        <v>25</v>
      </c>
      <c r="B17" s="237" t="s">
        <v>26</v>
      </c>
      <c r="C17" s="657">
        <v>106748</v>
      </c>
      <c r="D17" s="658">
        <v>135746</v>
      </c>
      <c r="E17" s="658">
        <v>136440</v>
      </c>
      <c r="F17" s="658">
        <v>139110</v>
      </c>
      <c r="G17" s="659">
        <v>144278</v>
      </c>
      <c r="H17" s="649"/>
      <c r="I17" s="650"/>
      <c r="J17" s="650"/>
      <c r="K17" s="650"/>
      <c r="L17" s="650"/>
      <c r="M17" s="650"/>
    </row>
    <row r="18" spans="1:11" s="73" customFormat="1" ht="12.75">
      <c r="A18" s="234" t="s">
        <v>27</v>
      </c>
      <c r="B18" s="235" t="s">
        <v>28</v>
      </c>
      <c r="C18" s="651">
        <v>0</v>
      </c>
      <c r="D18" s="652">
        <v>0</v>
      </c>
      <c r="E18" s="652">
        <v>0</v>
      </c>
      <c r="F18" s="652">
        <v>0</v>
      </c>
      <c r="G18" s="653">
        <v>0</v>
      </c>
      <c r="H18" s="649"/>
      <c r="I18" s="650"/>
      <c r="J18" s="650"/>
      <c r="K18" s="650"/>
    </row>
    <row r="19" spans="1:11" s="73" customFormat="1" ht="12.75">
      <c r="A19" s="222" t="s">
        <v>29</v>
      </c>
      <c r="B19" s="227" t="s">
        <v>30</v>
      </c>
      <c r="C19" s="654">
        <f>SUM(C20:C20)</f>
        <v>44240</v>
      </c>
      <c r="D19" s="655">
        <f>SUM(D20:D20)</f>
        <v>44624</v>
      </c>
      <c r="E19" s="655">
        <f>SUM(E20:E20)</f>
        <v>46660</v>
      </c>
      <c r="F19" s="655">
        <f>SUM(F20:F20)</f>
        <v>47032</v>
      </c>
      <c r="G19" s="656">
        <f>SUM(G20:G20)</f>
        <v>59126</v>
      </c>
      <c r="H19" s="649"/>
      <c r="I19" s="650"/>
      <c r="J19" s="650"/>
      <c r="K19" s="650"/>
    </row>
    <row r="20" spans="1:14" ht="12.75">
      <c r="A20" s="223" t="s">
        <v>31</v>
      </c>
      <c r="B20" s="228" t="s">
        <v>382</v>
      </c>
      <c r="C20" s="200">
        <v>44240</v>
      </c>
      <c r="D20" s="182">
        <v>44624</v>
      </c>
      <c r="E20" s="182">
        <v>46660</v>
      </c>
      <c r="F20" s="182">
        <v>47032</v>
      </c>
      <c r="G20" s="198">
        <v>59126</v>
      </c>
      <c r="H20" s="649"/>
      <c r="I20" s="650"/>
      <c r="J20" s="650"/>
      <c r="K20" s="650"/>
      <c r="L20" s="650"/>
      <c r="M20" s="650"/>
      <c r="N20" s="650"/>
    </row>
    <row r="21" spans="1:11" s="73" customFormat="1" ht="12.75">
      <c r="A21" s="680" t="s">
        <v>32</v>
      </c>
      <c r="B21" s="681" t="s">
        <v>34</v>
      </c>
      <c r="C21" s="682">
        <f>C22</f>
        <v>8671.503000000026</v>
      </c>
      <c r="D21" s="683">
        <f>D22</f>
        <v>15001.75937070002</v>
      </c>
      <c r="E21" s="683">
        <f>E22</f>
        <v>22853.87603816906</v>
      </c>
      <c r="F21" s="683">
        <f>F22</f>
        <v>29914.417116046774</v>
      </c>
      <c r="G21" s="684">
        <f>G22</f>
        <v>34414.263901087754</v>
      </c>
      <c r="H21" s="649"/>
      <c r="I21" s="650"/>
      <c r="J21" s="650"/>
      <c r="K21" s="650"/>
    </row>
    <row r="22" spans="1:11" ht="12.75">
      <c r="A22" s="223" t="s">
        <v>175</v>
      </c>
      <c r="B22" s="228" t="s">
        <v>176</v>
      </c>
      <c r="C22" s="654">
        <f>C26-C5-C15-C18-C19-C24</f>
        <v>8671.503000000026</v>
      </c>
      <c r="D22" s="655">
        <f>'9 Cash flow'!C33</f>
        <v>15001.75937070002</v>
      </c>
      <c r="E22" s="655">
        <f>'9 Cash flow'!D33</f>
        <v>22853.87603816906</v>
      </c>
      <c r="F22" s="655">
        <f>'9 Cash flow'!E33</f>
        <v>29914.417116046774</v>
      </c>
      <c r="G22" s="656">
        <f>'9 Cash flow'!F33</f>
        <v>34414.263901087754</v>
      </c>
      <c r="H22" s="649"/>
      <c r="I22" s="650"/>
      <c r="J22" s="650"/>
      <c r="K22" s="650"/>
    </row>
    <row r="23" spans="1:11" ht="13.5" thickBot="1">
      <c r="A23" s="223" t="s">
        <v>33</v>
      </c>
      <c r="B23" s="228" t="s">
        <v>383</v>
      </c>
      <c r="C23" s="200">
        <v>0</v>
      </c>
      <c r="D23" s="182">
        <v>0</v>
      </c>
      <c r="E23" s="182">
        <v>0</v>
      </c>
      <c r="F23" s="182">
        <v>0</v>
      </c>
      <c r="G23" s="198">
        <v>0</v>
      </c>
      <c r="H23" s="649"/>
      <c r="I23" s="650"/>
      <c r="J23" s="650"/>
      <c r="K23" s="650"/>
    </row>
    <row r="24" spans="1:12" s="73" customFormat="1" ht="13.5" thickBot="1">
      <c r="A24" s="690" t="s">
        <v>35</v>
      </c>
      <c r="B24" s="691" t="s">
        <v>36</v>
      </c>
      <c r="C24" s="692">
        <v>2150</v>
      </c>
      <c r="D24" s="693">
        <v>3748</v>
      </c>
      <c r="E24" s="693">
        <v>3202</v>
      </c>
      <c r="F24" s="693">
        <v>9038</v>
      </c>
      <c r="G24" s="694">
        <v>13886</v>
      </c>
      <c r="H24" s="649"/>
      <c r="I24" s="650"/>
      <c r="J24" s="650"/>
      <c r="K24" s="650"/>
      <c r="L24" s="650"/>
    </row>
    <row r="25" spans="1:12" ht="13.5" thickBot="1">
      <c r="A25" s="3"/>
      <c r="B25" s="4"/>
      <c r="C25" s="29"/>
      <c r="D25" s="1307"/>
      <c r="E25" s="1307"/>
      <c r="F25" s="1307"/>
      <c r="G25" s="1307"/>
      <c r="H25" s="1309"/>
      <c r="I25" s="1309"/>
      <c r="J25" s="1309"/>
      <c r="K25" s="1309"/>
      <c r="L25" s="1309"/>
    </row>
    <row r="26" spans="1:11" s="73" customFormat="1" ht="13.5" thickBot="1">
      <c r="A26" s="679"/>
      <c r="B26" s="675" t="s">
        <v>37</v>
      </c>
      <c r="C26" s="676">
        <f>C27+C34+C46</f>
        <v>535925.503</v>
      </c>
      <c r="D26" s="677">
        <f>D27+D34+D46</f>
        <v>639983.7593707</v>
      </c>
      <c r="E26" s="677">
        <f>E27+E34+E46</f>
        <v>645847.876038169</v>
      </c>
      <c r="F26" s="677">
        <f>F27+F34+F46</f>
        <v>655108.4171160468</v>
      </c>
      <c r="G26" s="678">
        <f>G27+G34+G46</f>
        <v>714388.2639010877</v>
      </c>
      <c r="H26" s="649"/>
      <c r="I26" s="650"/>
      <c r="J26" s="650"/>
      <c r="K26" s="650"/>
    </row>
    <row r="27" spans="1:11" s="73" customFormat="1" ht="12.75">
      <c r="A27" s="685" t="s">
        <v>1</v>
      </c>
      <c r="B27" s="686" t="s">
        <v>38</v>
      </c>
      <c r="C27" s="687">
        <f>C28+C29+C30+C32+C33</f>
        <v>256469.503</v>
      </c>
      <c r="D27" s="688">
        <f>D28+D29+D30+D32+D33</f>
        <v>271113.7593707</v>
      </c>
      <c r="E27" s="688">
        <f>E28+E29+E30+E32+E33</f>
        <v>270609.876038169</v>
      </c>
      <c r="F27" s="688">
        <f>F28+F29+F30+F32+F33</f>
        <v>293792.41711604677</v>
      </c>
      <c r="G27" s="689">
        <f>G28+G29+G30+G32+G33</f>
        <v>326502.26390108775</v>
      </c>
      <c r="H27" s="663"/>
      <c r="I27" s="650"/>
      <c r="J27" s="650"/>
      <c r="K27" s="650"/>
    </row>
    <row r="28" spans="1:11" s="73" customFormat="1" ht="12.75">
      <c r="A28" s="234" t="s">
        <v>39</v>
      </c>
      <c r="B28" s="235" t="s">
        <v>40</v>
      </c>
      <c r="C28" s="651">
        <v>150000</v>
      </c>
      <c r="D28" s="652">
        <f>C28</f>
        <v>150000</v>
      </c>
      <c r="E28" s="652">
        <f>D28</f>
        <v>150000</v>
      </c>
      <c r="F28" s="652">
        <f>E28</f>
        <v>150000</v>
      </c>
      <c r="G28" s="653">
        <f>F28</f>
        <v>150000</v>
      </c>
      <c r="H28" s="663"/>
      <c r="I28" s="650"/>
      <c r="J28" s="650"/>
      <c r="K28" s="650"/>
    </row>
    <row r="29" spans="1:11" s="73" customFormat="1" ht="12.75">
      <c r="A29" s="234" t="s">
        <v>41</v>
      </c>
      <c r="B29" s="235" t="s">
        <v>42</v>
      </c>
      <c r="C29" s="651">
        <v>11610</v>
      </c>
      <c r="D29" s="652">
        <v>11610</v>
      </c>
      <c r="E29" s="652">
        <v>11610</v>
      </c>
      <c r="F29" s="652">
        <v>11610</v>
      </c>
      <c r="G29" s="653">
        <v>11610</v>
      </c>
      <c r="H29" s="649"/>
      <c r="I29" s="650"/>
      <c r="J29" s="650"/>
      <c r="K29" s="650"/>
    </row>
    <row r="30" spans="1:11" s="73" customFormat="1" ht="12.75">
      <c r="A30" s="222" t="s">
        <v>43</v>
      </c>
      <c r="B30" s="227" t="s">
        <v>44</v>
      </c>
      <c r="C30" s="654">
        <f>C31</f>
        <v>30000</v>
      </c>
      <c r="D30" s="655">
        <f>D31</f>
        <v>30000</v>
      </c>
      <c r="E30" s="655">
        <f>E31</f>
        <v>30000</v>
      </c>
      <c r="F30" s="655">
        <f>F31</f>
        <v>30000</v>
      </c>
      <c r="G30" s="656">
        <f>G31</f>
        <v>30000</v>
      </c>
      <c r="H30" s="649"/>
      <c r="I30" s="650"/>
      <c r="J30" s="650"/>
      <c r="K30" s="650"/>
    </row>
    <row r="31" spans="1:11" ht="12.75">
      <c r="A31" s="236" t="s">
        <v>45</v>
      </c>
      <c r="B31" s="237" t="s">
        <v>46</v>
      </c>
      <c r="C31" s="657">
        <v>30000</v>
      </c>
      <c r="D31" s="658">
        <v>30000</v>
      </c>
      <c r="E31" s="658">
        <v>30000</v>
      </c>
      <c r="F31" s="658">
        <v>30000</v>
      </c>
      <c r="G31" s="659">
        <v>30000</v>
      </c>
      <c r="H31" s="649"/>
      <c r="I31" s="650"/>
      <c r="J31" s="650"/>
      <c r="K31" s="650"/>
    </row>
    <row r="32" spans="1:11" s="73" customFormat="1" ht="12.75">
      <c r="A32" s="222" t="s">
        <v>47</v>
      </c>
      <c r="B32" s="227" t="s">
        <v>48</v>
      </c>
      <c r="C32" s="1382">
        <v>43817</v>
      </c>
      <c r="D32" s="655">
        <f>C32+C33+'9 Cash flow'!C30</f>
        <v>54859.503</v>
      </c>
      <c r="E32" s="655">
        <f>D32+D33+'9 Cash flow'!D30</f>
        <v>67503.75937069999</v>
      </c>
      <c r="F32" s="655">
        <f>E32+E33+'9 Cash flow'!E30</f>
        <v>63999.87603816902</v>
      </c>
      <c r="G32" s="656">
        <f>F32+F33+'9 Cash flow'!F30</f>
        <v>86182.41711604674</v>
      </c>
      <c r="H32" s="649"/>
      <c r="I32" s="650"/>
      <c r="J32" s="650"/>
      <c r="K32" s="650"/>
    </row>
    <row r="33" spans="1:11" s="73" customFormat="1" ht="13.5" thickBot="1">
      <c r="A33" s="232" t="s">
        <v>49</v>
      </c>
      <c r="B33" s="233" t="s">
        <v>385</v>
      </c>
      <c r="C33" s="664">
        <f>'8 Výsledovka'!D29</f>
        <v>21042.503</v>
      </c>
      <c r="D33" s="665">
        <f>'8 Výsledovka'!E29</f>
        <v>24644.2563707</v>
      </c>
      <c r="E33" s="665">
        <f>'8 Výsledovka'!F29</f>
        <v>11496.11666746904</v>
      </c>
      <c r="F33" s="665">
        <f>'8 Výsledovka'!G29</f>
        <v>38182.541077877715</v>
      </c>
      <c r="G33" s="666">
        <f>'8 Výsledovka'!H29</f>
        <v>48709.84678504098</v>
      </c>
      <c r="H33" s="649"/>
      <c r="I33" s="650"/>
      <c r="J33" s="650"/>
      <c r="K33" s="650"/>
    </row>
    <row r="34" spans="1:11" s="73" customFormat="1" ht="12.75">
      <c r="A34" s="685" t="s">
        <v>2</v>
      </c>
      <c r="B34" s="686" t="s">
        <v>50</v>
      </c>
      <c r="C34" s="687">
        <f>C35+C36+C38+C43</f>
        <v>249412</v>
      </c>
      <c r="D34" s="688">
        <f>D35+D36+D38+D43</f>
        <v>333900</v>
      </c>
      <c r="E34" s="688">
        <f>E35+E36+E38+E43</f>
        <v>355658</v>
      </c>
      <c r="F34" s="688">
        <f>F35+F36+F38+F43</f>
        <v>347742</v>
      </c>
      <c r="G34" s="689">
        <f>G35+G36+G38+G43</f>
        <v>375970</v>
      </c>
      <c r="H34" s="649"/>
      <c r="I34" s="650"/>
      <c r="J34" s="650"/>
      <c r="K34" s="650"/>
    </row>
    <row r="35" spans="1:13" s="73" customFormat="1" ht="12.75">
      <c r="A35" s="234" t="s">
        <v>3</v>
      </c>
      <c r="B35" s="235" t="s">
        <v>51</v>
      </c>
      <c r="C35" s="651">
        <v>0</v>
      </c>
      <c r="D35" s="652">
        <f>C35+'8 Výsledovka'!E17</f>
        <v>3810</v>
      </c>
      <c r="E35" s="652">
        <f>D35+'8 Výsledovka'!F17</f>
        <v>9414</v>
      </c>
      <c r="F35" s="652">
        <f>E35+'8 Výsledovka'!G17</f>
        <v>3976</v>
      </c>
      <c r="G35" s="653">
        <f>F35+'8 Výsledovka'!H17</f>
        <v>5070</v>
      </c>
      <c r="H35" s="649"/>
      <c r="I35" s="650"/>
      <c r="J35" s="650"/>
      <c r="K35" s="650"/>
      <c r="L35" s="650"/>
      <c r="M35" s="30"/>
    </row>
    <row r="36" spans="1:11" s="73" customFormat="1" ht="12.75">
      <c r="A36" s="222" t="s">
        <v>5</v>
      </c>
      <c r="B36" s="227" t="s">
        <v>52</v>
      </c>
      <c r="C36" s="654">
        <f>SUM(C37:C37)</f>
        <v>14538</v>
      </c>
      <c r="D36" s="655">
        <f>SUM(D37:D37)</f>
        <v>39466</v>
      </c>
      <c r="E36" s="655">
        <f>SUM(E37:E37)</f>
        <v>35892</v>
      </c>
      <c r="F36" s="655">
        <f>SUM(F37:F37)</f>
        <v>20730</v>
      </c>
      <c r="G36" s="656">
        <f>SUM(G37:G37)</f>
        <v>12770</v>
      </c>
      <c r="H36" s="649"/>
      <c r="I36" s="650"/>
      <c r="J36" s="650"/>
      <c r="K36" s="650"/>
    </row>
    <row r="37" spans="1:11" ht="12.75">
      <c r="A37" s="236" t="s">
        <v>12</v>
      </c>
      <c r="B37" s="237" t="s">
        <v>386</v>
      </c>
      <c r="C37" s="657">
        <v>14538</v>
      </c>
      <c r="D37" s="658">
        <v>39466</v>
      </c>
      <c r="E37" s="658">
        <v>35892</v>
      </c>
      <c r="F37" s="658">
        <v>20730</v>
      </c>
      <c r="G37" s="659">
        <v>12770</v>
      </c>
      <c r="H37" s="649"/>
      <c r="I37" s="650"/>
      <c r="J37" s="650"/>
      <c r="K37" s="650"/>
    </row>
    <row r="38" spans="1:11" s="73" customFormat="1" ht="12.75">
      <c r="A38" s="222" t="s">
        <v>13</v>
      </c>
      <c r="B38" s="227" t="s">
        <v>53</v>
      </c>
      <c r="C38" s="654">
        <f>SUM(C39:C42)</f>
        <v>118534</v>
      </c>
      <c r="D38" s="655">
        <f>SUM(D39:D42)</f>
        <v>167874</v>
      </c>
      <c r="E38" s="655">
        <f>SUM(E39:E42)</f>
        <v>179620</v>
      </c>
      <c r="F38" s="655">
        <f>SUM(F39:F42)</f>
        <v>193110</v>
      </c>
      <c r="G38" s="656">
        <f>SUM(G39:G42)</f>
        <v>200754</v>
      </c>
      <c r="H38" s="1314"/>
      <c r="I38" s="650"/>
      <c r="J38" s="650"/>
      <c r="K38" s="650"/>
    </row>
    <row r="39" spans="1:11" ht="12.75">
      <c r="A39" s="223" t="s">
        <v>15</v>
      </c>
      <c r="B39" s="228" t="s">
        <v>387</v>
      </c>
      <c r="C39" s="200">
        <v>82794</v>
      </c>
      <c r="D39" s="182">
        <v>115788</v>
      </c>
      <c r="E39" s="182">
        <v>119928</v>
      </c>
      <c r="F39" s="182">
        <v>138666</v>
      </c>
      <c r="G39" s="198">
        <v>145572</v>
      </c>
      <c r="H39" s="649"/>
      <c r="I39" s="650"/>
      <c r="J39" s="650"/>
      <c r="K39" s="650"/>
    </row>
    <row r="40" spans="1:11" ht="12.75">
      <c r="A40" s="223" t="s">
        <v>18</v>
      </c>
      <c r="B40" s="228" t="s">
        <v>54</v>
      </c>
      <c r="C40" s="200">
        <v>29370</v>
      </c>
      <c r="D40" s="182">
        <v>43184</v>
      </c>
      <c r="E40" s="182">
        <v>49758</v>
      </c>
      <c r="F40" s="182">
        <v>44966</v>
      </c>
      <c r="G40" s="198">
        <v>45678</v>
      </c>
      <c r="H40" s="649"/>
      <c r="I40" s="650"/>
      <c r="J40" s="650"/>
      <c r="K40" s="650"/>
    </row>
    <row r="41" spans="1:11" ht="12.75">
      <c r="A41" s="223" t="s">
        <v>56</v>
      </c>
      <c r="B41" s="228" t="s">
        <v>388</v>
      </c>
      <c r="C41" s="200">
        <v>2978</v>
      </c>
      <c r="D41" s="182">
        <v>3694</v>
      </c>
      <c r="E41" s="182">
        <v>3630</v>
      </c>
      <c r="F41" s="182">
        <v>3762</v>
      </c>
      <c r="G41" s="198">
        <v>3946</v>
      </c>
      <c r="H41" s="649"/>
      <c r="I41" s="650"/>
      <c r="J41" s="650"/>
      <c r="K41" s="650"/>
    </row>
    <row r="42" spans="1:11" ht="12.75">
      <c r="A42" s="236" t="s">
        <v>57</v>
      </c>
      <c r="B42" s="237" t="s">
        <v>55</v>
      </c>
      <c r="C42" s="657">
        <v>3392</v>
      </c>
      <c r="D42" s="658">
        <v>5208</v>
      </c>
      <c r="E42" s="658">
        <v>6304</v>
      </c>
      <c r="F42" s="658">
        <v>5716</v>
      </c>
      <c r="G42" s="659">
        <v>5558</v>
      </c>
      <c r="H42" s="649"/>
      <c r="I42" s="650"/>
      <c r="J42" s="650"/>
      <c r="K42" s="650"/>
    </row>
    <row r="43" spans="1:11" s="73" customFormat="1" ht="12.75">
      <c r="A43" s="222" t="s">
        <v>58</v>
      </c>
      <c r="B43" s="227" t="s">
        <v>59</v>
      </c>
      <c r="C43" s="654">
        <f>C44+C45</f>
        <v>116340</v>
      </c>
      <c r="D43" s="655">
        <f>D44+D45</f>
        <v>122750</v>
      </c>
      <c r="E43" s="655">
        <f>E44+E45</f>
        <v>130732</v>
      </c>
      <c r="F43" s="655">
        <f>F44+F45</f>
        <v>129926</v>
      </c>
      <c r="G43" s="656">
        <f>G44+G45</f>
        <v>157376</v>
      </c>
      <c r="H43" s="649"/>
      <c r="I43" s="650"/>
      <c r="J43" s="650"/>
      <c r="K43" s="650"/>
    </row>
    <row r="44" spans="1:11" ht="12.75">
      <c r="A44" s="223" t="s">
        <v>60</v>
      </c>
      <c r="B44" s="228" t="s">
        <v>61</v>
      </c>
      <c r="C44" s="200">
        <v>46694</v>
      </c>
      <c r="D44" s="182">
        <v>55694</v>
      </c>
      <c r="E44" s="182">
        <v>74060</v>
      </c>
      <c r="F44" s="182">
        <v>95922</v>
      </c>
      <c r="G44" s="198">
        <v>120882</v>
      </c>
      <c r="H44" s="649"/>
      <c r="I44" s="650"/>
      <c r="J44" s="650"/>
      <c r="K44" s="650"/>
    </row>
    <row r="45" spans="1:11" ht="13.5" thickBot="1">
      <c r="A45" s="223" t="s">
        <v>62</v>
      </c>
      <c r="B45" s="228" t="s">
        <v>389</v>
      </c>
      <c r="C45" s="200">
        <v>69646</v>
      </c>
      <c r="D45" s="182">
        <v>67056</v>
      </c>
      <c r="E45" s="182">
        <v>56672</v>
      </c>
      <c r="F45" s="182">
        <v>34004</v>
      </c>
      <c r="G45" s="198">
        <v>36494</v>
      </c>
      <c r="H45" s="649"/>
      <c r="I45" s="650"/>
      <c r="J45" s="650"/>
      <c r="K45" s="650"/>
    </row>
    <row r="46" spans="1:12" s="73" customFormat="1" ht="13.5" thickBot="1">
      <c r="A46" s="690" t="s">
        <v>19</v>
      </c>
      <c r="B46" s="691" t="s">
        <v>36</v>
      </c>
      <c r="C46" s="692">
        <v>30044</v>
      </c>
      <c r="D46" s="693">
        <v>34970</v>
      </c>
      <c r="E46" s="693">
        <v>19580</v>
      </c>
      <c r="F46" s="693">
        <v>13574</v>
      </c>
      <c r="G46" s="694">
        <v>11916</v>
      </c>
      <c r="H46" s="649"/>
      <c r="I46" s="650"/>
      <c r="J46" s="650"/>
      <c r="K46" s="650"/>
      <c r="L46" s="650"/>
    </row>
    <row r="48" spans="2:7" ht="12.75">
      <c r="B48" s="4"/>
      <c r="C48" s="667"/>
      <c r="D48" s="667"/>
      <c r="E48" s="667"/>
      <c r="F48" s="667"/>
      <c r="G48" s="667"/>
    </row>
    <row r="50" spans="3:7" ht="12.75">
      <c r="C50" s="1333"/>
      <c r="D50" s="1333"/>
      <c r="E50" s="1333"/>
      <c r="F50" s="1333"/>
      <c r="G50" s="1333"/>
    </row>
  </sheetData>
  <sheetProtection/>
  <hyperlinks>
    <hyperlink ref="G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3"/>
  <headerFooter alignWithMargins="0">
    <oddHeader>&amp;LMařík, M. a kol.: Metody oceňování podniku - 1. díl, Ekopress 2011&amp;RPříklad UNIPO, a.s.</oddHeader>
    <oddFooter>&amp;C&amp;A&amp;R&amp;"Arial CE,kurzíva"© M. Mařík, P. Maříková</oddFooter>
  </headerFooter>
  <ignoredErrors>
    <ignoredError sqref="D28:G35" unlockedFormula="1"/>
  </ignoredErrors>
  <legacyDrawing r:id="rId2"/>
</worksheet>
</file>

<file path=xl/worksheets/sheet9.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00390625" defaultRowHeight="12.75"/>
  <cols>
    <col min="1" max="1" width="4.00390625" style="30" customWidth="1"/>
    <col min="2" max="2" width="3.75390625" style="30" customWidth="1"/>
    <col min="3" max="3" width="40.75390625" style="30" customWidth="1"/>
    <col min="4" max="8" width="9.75390625" style="30" bestFit="1" customWidth="1"/>
    <col min="9" max="16384" width="9.125" style="30" customWidth="1"/>
  </cols>
  <sheetData>
    <row r="1" spans="1:9" s="5" customFormat="1" ht="21" customHeight="1">
      <c r="A1" s="695" t="s">
        <v>548</v>
      </c>
      <c r="H1" s="1167" t="s">
        <v>672</v>
      </c>
      <c r="I1" s="30"/>
    </row>
    <row r="2" spans="1:9" s="5" customFormat="1" ht="21" customHeight="1">
      <c r="A2" s="696" t="s">
        <v>549</v>
      </c>
      <c r="I2" s="30"/>
    </row>
    <row r="3" spans="1:8" ht="13.5" thickBot="1">
      <c r="A3" s="30" t="s">
        <v>378</v>
      </c>
      <c r="B3" s="1334"/>
      <c r="C3" s="1334"/>
      <c r="D3" s="1335">
        <v>0.31</v>
      </c>
      <c r="E3" s="1335">
        <v>0.31</v>
      </c>
      <c r="F3" s="1335">
        <v>0.28</v>
      </c>
      <c r="G3" s="1335">
        <v>0.26</v>
      </c>
      <c r="H3" s="1335">
        <v>0.24</v>
      </c>
    </row>
    <row r="4" spans="1:8" ht="13.5" thickBot="1">
      <c r="A4" s="669"/>
      <c r="B4" s="697"/>
      <c r="C4" s="670" t="s">
        <v>208</v>
      </c>
      <c r="D4" s="671">
        <f>výchozí_rok</f>
        <v>2002</v>
      </c>
      <c r="E4" s="672">
        <f>výchozí_rok+1</f>
        <v>2003</v>
      </c>
      <c r="F4" s="698">
        <f>výchozí_rok+2</f>
        <v>2004</v>
      </c>
      <c r="G4" s="672">
        <f>výchozí_rok+3</f>
        <v>2005</v>
      </c>
      <c r="H4" s="673">
        <f>výchozí_rok+4</f>
        <v>2006</v>
      </c>
    </row>
    <row r="5" spans="1:8" ht="12.75">
      <c r="A5" s="223" t="s">
        <v>63</v>
      </c>
      <c r="B5" s="3"/>
      <c r="C5" s="228" t="s">
        <v>64</v>
      </c>
      <c r="D5" s="707">
        <v>1439502</v>
      </c>
      <c r="E5" s="708">
        <v>1766930</v>
      </c>
      <c r="F5" s="709">
        <v>1831618</v>
      </c>
      <c r="G5" s="708">
        <v>1893492</v>
      </c>
      <c r="H5" s="710">
        <v>2054958</v>
      </c>
    </row>
    <row r="6" spans="1:8" ht="12.75">
      <c r="A6" s="223"/>
      <c r="B6" s="3" t="s">
        <v>1</v>
      </c>
      <c r="C6" s="228" t="s">
        <v>65</v>
      </c>
      <c r="D6" s="707">
        <v>1214542</v>
      </c>
      <c r="E6" s="708">
        <v>1528764</v>
      </c>
      <c r="F6" s="709">
        <v>1591500</v>
      </c>
      <c r="G6" s="708">
        <v>1630740</v>
      </c>
      <c r="H6" s="710">
        <v>1771536</v>
      </c>
    </row>
    <row r="7" spans="1:8" s="73" customFormat="1" ht="13.5" thickBot="1">
      <c r="A7" s="242" t="s">
        <v>66</v>
      </c>
      <c r="B7" s="243"/>
      <c r="C7" s="244" t="s">
        <v>67</v>
      </c>
      <c r="D7" s="711">
        <f>D5-D6</f>
        <v>224960</v>
      </c>
      <c r="E7" s="712">
        <f>E5-E6</f>
        <v>238166</v>
      </c>
      <c r="F7" s="713">
        <f>F5-F6</f>
        <v>240118</v>
      </c>
      <c r="G7" s="712">
        <f>G5-G6</f>
        <v>262752</v>
      </c>
      <c r="H7" s="714">
        <f>H5-H6</f>
        <v>283422</v>
      </c>
    </row>
    <row r="8" spans="1:8" ht="12.75">
      <c r="A8" s="223"/>
      <c r="B8" s="3" t="s">
        <v>68</v>
      </c>
      <c r="C8" s="228" t="s">
        <v>69</v>
      </c>
      <c r="D8" s="707">
        <v>29472</v>
      </c>
      <c r="E8" s="708">
        <v>29061</v>
      </c>
      <c r="F8" s="709">
        <v>25131</v>
      </c>
      <c r="G8" s="708">
        <v>27811</v>
      </c>
      <c r="H8" s="710">
        <v>31198</v>
      </c>
    </row>
    <row r="9" spans="1:8" s="73" customFormat="1" ht="13.5" thickBot="1">
      <c r="A9" s="242" t="s">
        <v>66</v>
      </c>
      <c r="B9" s="243"/>
      <c r="C9" s="244" t="s">
        <v>70</v>
      </c>
      <c r="D9" s="711">
        <f>D7-D8</f>
        <v>195488</v>
      </c>
      <c r="E9" s="712">
        <f>E7-E8</f>
        <v>209105</v>
      </c>
      <c r="F9" s="713">
        <f>F7-F8</f>
        <v>214987</v>
      </c>
      <c r="G9" s="712">
        <f>G7-G8</f>
        <v>234941</v>
      </c>
      <c r="H9" s="714">
        <f>H7-H8</f>
        <v>252224</v>
      </c>
    </row>
    <row r="10" spans="1:8" ht="12.75">
      <c r="A10" s="223"/>
      <c r="B10" s="3" t="s">
        <v>19</v>
      </c>
      <c r="C10" s="228" t="s">
        <v>71</v>
      </c>
      <c r="D10" s="715">
        <f>SUM(D11:D12)</f>
        <v>113854</v>
      </c>
      <c r="E10" s="716">
        <f>SUM(E11:E12)</f>
        <v>118548</v>
      </c>
      <c r="F10" s="717">
        <f>SUM(F11:F12)</f>
        <v>123054</v>
      </c>
      <c r="G10" s="716">
        <f>SUM(G11:G12)</f>
        <v>125664</v>
      </c>
      <c r="H10" s="718">
        <f>SUM(H11:H12)</f>
        <v>129686</v>
      </c>
    </row>
    <row r="11" spans="1:8" ht="12.75">
      <c r="A11" s="223"/>
      <c r="B11" s="3" t="s">
        <v>72</v>
      </c>
      <c r="C11" s="228" t="s">
        <v>73</v>
      </c>
      <c r="D11" s="707">
        <v>84820</v>
      </c>
      <c r="E11" s="708">
        <v>88386</v>
      </c>
      <c r="F11" s="709">
        <v>91760</v>
      </c>
      <c r="G11" s="708">
        <v>93648</v>
      </c>
      <c r="H11" s="710">
        <v>96494</v>
      </c>
    </row>
    <row r="12" spans="1:8" ht="12.75">
      <c r="A12" s="236"/>
      <c r="B12" s="2" t="s">
        <v>74</v>
      </c>
      <c r="C12" s="237" t="s">
        <v>392</v>
      </c>
      <c r="D12" s="719">
        <v>29034</v>
      </c>
      <c r="E12" s="720">
        <v>30162</v>
      </c>
      <c r="F12" s="721">
        <v>31294</v>
      </c>
      <c r="G12" s="720">
        <v>32016</v>
      </c>
      <c r="H12" s="722">
        <v>33192</v>
      </c>
    </row>
    <row r="13" spans="1:8" ht="12.75">
      <c r="A13" s="245"/>
      <c r="B13" s="6" t="s">
        <v>35</v>
      </c>
      <c r="C13" s="246" t="s">
        <v>75</v>
      </c>
      <c r="D13" s="723">
        <v>5230</v>
      </c>
      <c r="E13" s="724">
        <v>4326</v>
      </c>
      <c r="F13" s="725">
        <v>5404</v>
      </c>
      <c r="G13" s="724">
        <v>6938</v>
      </c>
      <c r="H13" s="726">
        <v>4110</v>
      </c>
    </row>
    <row r="14" spans="1:8" ht="12.75">
      <c r="A14" s="245"/>
      <c r="B14" s="6" t="s">
        <v>76</v>
      </c>
      <c r="C14" s="246" t="s">
        <v>393</v>
      </c>
      <c r="D14" s="723">
        <v>24292</v>
      </c>
      <c r="E14" s="724">
        <v>23096</v>
      </c>
      <c r="F14" s="725">
        <v>35640</v>
      </c>
      <c r="G14" s="724">
        <v>45310</v>
      </c>
      <c r="H14" s="726">
        <v>45372</v>
      </c>
    </row>
    <row r="15" spans="1:8" ht="12.75">
      <c r="A15" s="223" t="s">
        <v>77</v>
      </c>
      <c r="B15" s="3"/>
      <c r="C15" s="228" t="s">
        <v>394</v>
      </c>
      <c r="D15" s="727">
        <v>0</v>
      </c>
      <c r="E15" s="728">
        <v>0</v>
      </c>
      <c r="F15" s="729">
        <v>0</v>
      </c>
      <c r="G15" s="728">
        <v>15370</v>
      </c>
      <c r="H15" s="730">
        <v>0</v>
      </c>
    </row>
    <row r="16" spans="1:8" ht="12.75">
      <c r="A16" s="236"/>
      <c r="B16" s="2" t="s">
        <v>78</v>
      </c>
      <c r="C16" s="237" t="s">
        <v>395</v>
      </c>
      <c r="D16" s="731">
        <v>0</v>
      </c>
      <c r="E16" s="732">
        <v>0</v>
      </c>
      <c r="F16" s="733">
        <v>0</v>
      </c>
      <c r="G16" s="732">
        <v>6656</v>
      </c>
      <c r="H16" s="734">
        <v>0</v>
      </c>
    </row>
    <row r="17" spans="1:14" ht="12.75">
      <c r="A17" s="223"/>
      <c r="B17" s="3" t="s">
        <v>79</v>
      </c>
      <c r="C17" s="228" t="s">
        <v>398</v>
      </c>
      <c r="D17" s="727">
        <v>-606</v>
      </c>
      <c r="E17" s="728">
        <v>3810</v>
      </c>
      <c r="F17" s="729">
        <v>5604</v>
      </c>
      <c r="G17" s="728">
        <v>-5438</v>
      </c>
      <c r="H17" s="730">
        <v>1094</v>
      </c>
      <c r="I17" s="667"/>
      <c r="J17" s="667"/>
      <c r="K17" s="667"/>
      <c r="L17" s="667"/>
      <c r="M17" s="667"/>
      <c r="N17" s="667"/>
    </row>
    <row r="18" spans="1:8" s="73" customFormat="1" ht="13.5" thickBot="1">
      <c r="A18" s="242" t="s">
        <v>81</v>
      </c>
      <c r="B18" s="243"/>
      <c r="C18" s="244" t="s">
        <v>82</v>
      </c>
      <c r="D18" s="711">
        <f>D9-D10-D13-D14+D15-D16-D17</f>
        <v>52718</v>
      </c>
      <c r="E18" s="712">
        <f>E9-E10-E13-E14+E15-E16-E17</f>
        <v>59325</v>
      </c>
      <c r="F18" s="713">
        <f>F9-F10-F13-F14+F15-F16-F17</f>
        <v>45285</v>
      </c>
      <c r="G18" s="712">
        <f>G9-G10-G13-G14+G15-G16-G17</f>
        <v>71181</v>
      </c>
      <c r="H18" s="714">
        <f>H9-H10-H13-H14+H15-H16-H17</f>
        <v>71962</v>
      </c>
    </row>
    <row r="19" spans="1:8" ht="12.75">
      <c r="A19" s="223" t="s">
        <v>80</v>
      </c>
      <c r="B19" s="3"/>
      <c r="C19" s="228" t="s">
        <v>83</v>
      </c>
      <c r="D19" s="727">
        <f>('7 Rozvaha'!D12*0.05)</f>
        <v>63.7</v>
      </c>
      <c r="E19" s="728">
        <f>('7 Rozvaha'!D12*0.05)</f>
        <v>63.7</v>
      </c>
      <c r="F19" s="729">
        <f>('7 Rozvaha'!E12*0.05)</f>
        <v>63.7</v>
      </c>
      <c r="G19" s="728">
        <f>('7 Rozvaha'!F12*0.05)</f>
        <v>63.7</v>
      </c>
      <c r="H19" s="730">
        <f>('7 Rozvaha'!G12*0.05)</f>
        <v>63.7</v>
      </c>
    </row>
    <row r="20" spans="1:8" ht="12.75">
      <c r="A20" s="223" t="s">
        <v>84</v>
      </c>
      <c r="B20" s="3"/>
      <c r="C20" s="228" t="s">
        <v>86</v>
      </c>
      <c r="D20" s="727">
        <v>145</v>
      </c>
      <c r="E20" s="728">
        <f>'7 Rozvaha'!C22*0.01</f>
        <v>86.71503000000027</v>
      </c>
      <c r="F20" s="729">
        <f>'7 Rozvaha'!D22*0.01</f>
        <v>150.0175937070002</v>
      </c>
      <c r="G20" s="728">
        <f>'7 Rozvaha'!E22*0.007</f>
        <v>159.9771322671834</v>
      </c>
      <c r="H20" s="730">
        <f>'7 Rozvaha'!F22*0.005</f>
        <v>149.57208558023387</v>
      </c>
    </row>
    <row r="21" spans="1:13" ht="12.75">
      <c r="A21" s="223"/>
      <c r="B21" s="3" t="s">
        <v>87</v>
      </c>
      <c r="C21" s="228" t="s">
        <v>88</v>
      </c>
      <c r="D21" s="727">
        <v>23068</v>
      </c>
      <c r="E21" s="728">
        <v>23562</v>
      </c>
      <c r="F21" s="729">
        <v>21468</v>
      </c>
      <c r="G21" s="728">
        <v>15658</v>
      </c>
      <c r="H21" s="730">
        <v>10536</v>
      </c>
      <c r="I21" s="342"/>
      <c r="J21" s="342"/>
      <c r="K21" s="342"/>
      <c r="L21" s="342"/>
      <c r="M21" s="342"/>
    </row>
    <row r="22" spans="1:8" s="73" customFormat="1" ht="13.5" thickBot="1">
      <c r="A22" s="242" t="s">
        <v>81</v>
      </c>
      <c r="B22" s="243"/>
      <c r="C22" s="244" t="s">
        <v>89</v>
      </c>
      <c r="D22" s="711">
        <f>D19+D20-D21</f>
        <v>-22859.3</v>
      </c>
      <c r="E22" s="712">
        <f>E19+E20-E21</f>
        <v>-23411.58497</v>
      </c>
      <c r="F22" s="713">
        <f>F19+F20-F21</f>
        <v>-21254.282406293</v>
      </c>
      <c r="G22" s="712">
        <f>G19+G20-G21</f>
        <v>-15434.322867732817</v>
      </c>
      <c r="H22" s="714">
        <f>H19+H20-H21</f>
        <v>-10322.727914419766</v>
      </c>
    </row>
    <row r="23" spans="1:8" ht="12.75">
      <c r="A23" s="223"/>
      <c r="B23" s="3" t="s">
        <v>399</v>
      </c>
      <c r="C23" s="228" t="s">
        <v>91</v>
      </c>
      <c r="D23" s="727">
        <f>(D18+D22)*D3</f>
        <v>9256.197</v>
      </c>
      <c r="E23" s="728">
        <f>(E18+E22)*E3</f>
        <v>11133.158659300001</v>
      </c>
      <c r="F23" s="729">
        <f>(F18+F22)*F3</f>
        <v>6728.60092623796</v>
      </c>
      <c r="G23" s="728">
        <f>(G18+G22)*G3</f>
        <v>14494.136054389468</v>
      </c>
      <c r="H23" s="730">
        <f>(H18+H22)*H3</f>
        <v>14793.425300539255</v>
      </c>
    </row>
    <row r="24" spans="1:8" s="73" customFormat="1" ht="13.5" thickBot="1">
      <c r="A24" s="242" t="s">
        <v>92</v>
      </c>
      <c r="B24" s="243"/>
      <c r="C24" s="244" t="s">
        <v>93</v>
      </c>
      <c r="D24" s="711">
        <f>D18+D22-D23</f>
        <v>20602.503</v>
      </c>
      <c r="E24" s="712">
        <f>E18+E22-E23</f>
        <v>24780.2563707</v>
      </c>
      <c r="F24" s="713">
        <f>F18+F22-F23</f>
        <v>17302.11666746904</v>
      </c>
      <c r="G24" s="712">
        <f>G18+G22-G23</f>
        <v>41252.541077877715</v>
      </c>
      <c r="H24" s="714">
        <f>H18+H22-H23</f>
        <v>46845.84678504098</v>
      </c>
    </row>
    <row r="25" spans="1:8" ht="12.75">
      <c r="A25" s="223" t="s">
        <v>85</v>
      </c>
      <c r="B25" s="3"/>
      <c r="C25" s="228" t="s">
        <v>94</v>
      </c>
      <c r="D25" s="727">
        <v>6238</v>
      </c>
      <c r="E25" s="728">
        <v>7320</v>
      </c>
      <c r="F25" s="729">
        <v>2172</v>
      </c>
      <c r="G25" s="728">
        <v>5262</v>
      </c>
      <c r="H25" s="730">
        <v>4618</v>
      </c>
    </row>
    <row r="26" spans="1:8" ht="12.75">
      <c r="A26" s="223"/>
      <c r="B26" s="3" t="s">
        <v>90</v>
      </c>
      <c r="C26" s="228" t="s">
        <v>96</v>
      </c>
      <c r="D26" s="727">
        <v>5756</v>
      </c>
      <c r="E26" s="728">
        <v>7456</v>
      </c>
      <c r="F26" s="729">
        <v>7978</v>
      </c>
      <c r="G26" s="728">
        <v>8230</v>
      </c>
      <c r="H26" s="730">
        <v>2256</v>
      </c>
    </row>
    <row r="27" spans="1:8" ht="12.75">
      <c r="A27" s="223"/>
      <c r="B27" s="3" t="s">
        <v>95</v>
      </c>
      <c r="C27" s="228" t="s">
        <v>97</v>
      </c>
      <c r="D27" s="727">
        <v>42</v>
      </c>
      <c r="E27" s="728">
        <v>0</v>
      </c>
      <c r="F27" s="729">
        <v>0</v>
      </c>
      <c r="G27" s="728">
        <v>102</v>
      </c>
      <c r="H27" s="730">
        <v>498</v>
      </c>
    </row>
    <row r="28" spans="1:8" s="73" customFormat="1" ht="13.5" thickBot="1">
      <c r="A28" s="242" t="s">
        <v>81</v>
      </c>
      <c r="B28" s="243"/>
      <c r="C28" s="244" t="s">
        <v>98</v>
      </c>
      <c r="D28" s="711">
        <f>D25-D26-D27</f>
        <v>440</v>
      </c>
      <c r="E28" s="712">
        <f>E25-E26-E27</f>
        <v>-136</v>
      </c>
      <c r="F28" s="713">
        <f>F25-F26-F27</f>
        <v>-5806</v>
      </c>
      <c r="G28" s="712">
        <f>G25-G26-G27</f>
        <v>-3070</v>
      </c>
      <c r="H28" s="714">
        <f>H25-H26-H27</f>
        <v>1864</v>
      </c>
    </row>
    <row r="29" spans="1:8" s="73" customFormat="1" ht="12.75">
      <c r="A29" s="801" t="s">
        <v>99</v>
      </c>
      <c r="B29" s="795"/>
      <c r="C29" s="796" t="s">
        <v>396</v>
      </c>
      <c r="D29" s="797">
        <f>D24+D28</f>
        <v>21042.503</v>
      </c>
      <c r="E29" s="798">
        <f>E24+E28</f>
        <v>24644.2563707</v>
      </c>
      <c r="F29" s="799">
        <f>F24+F28</f>
        <v>11496.11666746904</v>
      </c>
      <c r="G29" s="798">
        <f>G24+G28</f>
        <v>38182.541077877715</v>
      </c>
      <c r="H29" s="800">
        <f>H24+H28</f>
        <v>48709.84678504098</v>
      </c>
    </row>
    <row r="30" spans="1:8" s="73" customFormat="1" ht="13.5" thickBot="1">
      <c r="A30" s="224"/>
      <c r="B30" s="240"/>
      <c r="C30" s="241" t="s">
        <v>397</v>
      </c>
      <c r="D30" s="735">
        <f>D18+D22+D25-D26</f>
        <v>30340.699999999997</v>
      </c>
      <c r="E30" s="736">
        <f>E18+E22+E25-E26</f>
        <v>35777.415030000004</v>
      </c>
      <c r="F30" s="737">
        <f>F18+F22+F25-F26</f>
        <v>18224.717593707</v>
      </c>
      <c r="G30" s="736">
        <f>G18+G22+G25-G26</f>
        <v>52778.677132267185</v>
      </c>
      <c r="H30" s="738">
        <f>H18+H22+H25-H26</f>
        <v>64001.27208558023</v>
      </c>
    </row>
    <row r="33" spans="3:8" ht="12.75">
      <c r="C33" s="82"/>
      <c r="D33" s="667"/>
      <c r="E33" s="667"/>
      <c r="F33" s="667"/>
      <c r="G33" s="667"/>
      <c r="H33" s="667"/>
    </row>
    <row r="34" spans="3:8" ht="12.75">
      <c r="C34" s="82"/>
      <c r="D34" s="667"/>
      <c r="E34" s="667"/>
      <c r="F34" s="667"/>
      <c r="G34" s="667"/>
      <c r="H34" s="667"/>
    </row>
    <row r="35" spans="3:8" ht="12.75">
      <c r="C35" s="82"/>
      <c r="D35" s="667"/>
      <c r="E35" s="667"/>
      <c r="F35" s="667"/>
      <c r="G35" s="667"/>
      <c r="H35" s="667"/>
    </row>
    <row r="36" spans="3:8" ht="12.75">
      <c r="C36" s="82"/>
      <c r="D36" s="667"/>
      <c r="E36" s="667"/>
      <c r="F36" s="667"/>
      <c r="G36" s="667"/>
      <c r="H36" s="667"/>
    </row>
    <row r="38" spans="3:8" ht="12.75">
      <c r="C38" s="82"/>
      <c r="D38" s="667"/>
      <c r="E38" s="667"/>
      <c r="F38" s="667"/>
      <c r="G38" s="667"/>
      <c r="H38" s="667"/>
    </row>
  </sheetData>
  <sheetProtection/>
  <hyperlinks>
    <hyperlink ref="H1" location="Obsah!A1" display="Skok na obsah"/>
  </hyperlinks>
  <printOptions/>
  <pageMargins left="0.3937007874015748" right="0.3937007874015748" top="0.984251968503937" bottom="0.984251968503937" header="0.5118110236220472" footer="0.5118110236220472"/>
  <pageSetup horizontalDpi="600" verticalDpi="600" orientation="portrait" paperSize="9" r:id="rId1"/>
  <headerFooter alignWithMargins="0">
    <oddHeader>&amp;LMařík, M. a kol.: Metody oceňování podniku - 1. díl, Ekopress 2011&amp;RPříklad UNIPO, a.s.</oddHeader>
    <oddFooter>&amp;C&amp;A&amp;R&amp;"Arial CE,kurzíva"© M. Mařík, P. Maříková</oddFooter>
  </headerFooter>
  <ignoredErrors>
    <ignoredError sqref="D10:H18" formulaRange="1"/>
    <ignoredError sqref="D19:H23"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Tržní hodnota podniku UNIPO, a.s.</dc:title>
  <dc:subject>Mařík, M. a kol.: Metody oceňování podniku 2007</dc:subject>
  <dc:creator>Mařík Miloš</dc:creator>
  <cp:keywords/>
  <dc:description/>
  <cp:lastModifiedBy>Miloš Mařík</cp:lastModifiedBy>
  <cp:lastPrinted>2011-12-12T11:37:13Z</cp:lastPrinted>
  <dcterms:created xsi:type="dcterms:W3CDTF">2002-11-20T15:45:06Z</dcterms:created>
  <dcterms:modified xsi:type="dcterms:W3CDTF">2011-12-12T11:37:20Z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