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8790" windowHeight="5505" activeTab="0"/>
  </bookViews>
  <sheets>
    <sheet name="Obsah" sheetId="1" r:id="rId1"/>
    <sheet name="1 Regrese - Čas" sheetId="2" r:id="rId2"/>
    <sheet name="2 Regrese - HDP" sheetId="3" r:id="rId3"/>
    <sheet name="3 Regrese - HDP,MO" sheetId="4" r:id="rId4"/>
    <sheet name="4 Regrese - HDP,Inf" sheetId="5" r:id="rId5"/>
    <sheet name="5 Regrese - HDP,MO,Inf" sheetId="6" r:id="rId6"/>
    <sheet name="6 Vnější potenciál" sheetId="7" r:id="rId7"/>
    <sheet name="7 Tržby UNIPO" sheetId="8" r:id="rId8"/>
    <sheet name="8 Rozvaha" sheetId="9" r:id="rId9"/>
    <sheet name="9 Výsledovka" sheetId="10" r:id="rId10"/>
    <sheet name="10 Cash flow" sheetId="11" r:id="rId11"/>
    <sheet name="11 Struktura rozvahy" sheetId="12" r:id="rId12"/>
    <sheet name="12 Tempo rozvaha" sheetId="13" r:id="rId13"/>
    <sheet name="13 Struktura výsledovky" sheetId="14" r:id="rId14"/>
    <sheet name="14 Tempo výsledovka" sheetId="15" r:id="rId15"/>
    <sheet name="15 Ukazatele" sheetId="16" r:id="rId16"/>
    <sheet name="16 Generátory" sheetId="17" r:id="rId17"/>
    <sheet name="17 Generátory - ocenění" sheetId="18" r:id="rId18"/>
    <sheet name="18 Plán" sheetId="19" r:id="rId19"/>
    <sheet name="19 nVK - CAPM" sheetId="20" r:id="rId20"/>
    <sheet name="20 nVK - Stavebnice" sheetId="21" r:id="rId21"/>
    <sheet name="21 WACC" sheetId="22" r:id="rId22"/>
    <sheet name="22 DCF" sheetId="23" r:id="rId23"/>
    <sheet name="23 EVA" sheetId="24" r:id="rId24"/>
    <sheet name="24 KČV" sheetId="25" r:id="rId25"/>
    <sheet name="25 Pohledávka" sheetId="26" r:id="rId26"/>
    <sheet name="26 Dluhopisy" sheetId="27" r:id="rId27"/>
    <sheet name="27 Souhrnné ocenění" sheetId="28" r:id="rId28"/>
  </sheets>
  <definedNames>
    <definedName name="výchozí_rok">'8 Rozvaha'!$C$4</definedName>
  </definedNames>
  <calcPr fullCalcOnLoad="1"/>
</workbook>
</file>

<file path=xl/sharedStrings.xml><?xml version="1.0" encoding="utf-8"?>
<sst xmlns="http://schemas.openxmlformats.org/spreadsheetml/2006/main" count="1456" uniqueCount="788">
  <si>
    <t>AKTIVA CELKEM</t>
  </si>
  <si>
    <t>A.</t>
  </si>
  <si>
    <t>B.</t>
  </si>
  <si>
    <t>B.I.</t>
  </si>
  <si>
    <t>Dlouhodobý nehmotný majetek</t>
  </si>
  <si>
    <t>B.II.</t>
  </si>
  <si>
    <t>Dlouhodobý hmotný majetek</t>
  </si>
  <si>
    <t>B.II.1.</t>
  </si>
  <si>
    <t>Pozemky</t>
  </si>
  <si>
    <t>B.II.2.</t>
  </si>
  <si>
    <t>Stavby</t>
  </si>
  <si>
    <t>B.II.3.</t>
  </si>
  <si>
    <t>B.II.6.</t>
  </si>
  <si>
    <t>B.III.</t>
  </si>
  <si>
    <t>Dlouhodobý finanční majetek</t>
  </si>
  <si>
    <t>B.III.1.</t>
  </si>
  <si>
    <t>B.III.3.</t>
  </si>
  <si>
    <t>Ostatní dlouhodobé cenné papíry a podíly</t>
  </si>
  <si>
    <t>B.III.5.</t>
  </si>
  <si>
    <t>C.</t>
  </si>
  <si>
    <t>Oběžná aktiva</t>
  </si>
  <si>
    <t>C.I.</t>
  </si>
  <si>
    <t>Zásoby</t>
  </si>
  <si>
    <t>C.I.1.</t>
  </si>
  <si>
    <t>Materiál</t>
  </si>
  <si>
    <t>C.I.5.</t>
  </si>
  <si>
    <t>Zboží</t>
  </si>
  <si>
    <t>C.II.</t>
  </si>
  <si>
    <t>Dlouhodobé pohledávky</t>
  </si>
  <si>
    <t>C.III.</t>
  </si>
  <si>
    <t>Krátkodobé pohledávky</t>
  </si>
  <si>
    <t>C.III.1.</t>
  </si>
  <si>
    <t>C.IV.</t>
  </si>
  <si>
    <t>C.IV.3.</t>
  </si>
  <si>
    <t>Krátkodobý finanční majetek</t>
  </si>
  <si>
    <t>D.</t>
  </si>
  <si>
    <t>Časové rozlišení</t>
  </si>
  <si>
    <t>PASIVA CELKEM</t>
  </si>
  <si>
    <t>Vlastní kapitál</t>
  </si>
  <si>
    <t>A.I.</t>
  </si>
  <si>
    <t>Základní kapitál</t>
  </si>
  <si>
    <t>A.II.</t>
  </si>
  <si>
    <t>Kapitálové fondy</t>
  </si>
  <si>
    <t>A.III.</t>
  </si>
  <si>
    <t>Fondy ze zisku</t>
  </si>
  <si>
    <t>A.III.1.</t>
  </si>
  <si>
    <t>Zákonný rezervní fond</t>
  </si>
  <si>
    <t>A.IV.</t>
  </si>
  <si>
    <t>Výsledek hospodaření minulých let</t>
  </si>
  <si>
    <t>A.V.</t>
  </si>
  <si>
    <t>Cizí zdroje</t>
  </si>
  <si>
    <t>Rezervy</t>
  </si>
  <si>
    <t>Dlouhodobé závazky</t>
  </si>
  <si>
    <t>Krátkodobé závazky</t>
  </si>
  <si>
    <t>Závazky k zaměstnancům</t>
  </si>
  <si>
    <t>Stát - daňové závazky a dotace</t>
  </si>
  <si>
    <t>B.III.6.</t>
  </si>
  <si>
    <t>B.III.7.</t>
  </si>
  <si>
    <t>B.IV.</t>
  </si>
  <si>
    <t>Bankovní úvěry a výpomoci</t>
  </si>
  <si>
    <t>B.IV.1.</t>
  </si>
  <si>
    <t>Bankovní úvěry dlouhodobé</t>
  </si>
  <si>
    <t>B.IV.2.</t>
  </si>
  <si>
    <t>Kontrola - rozdíl</t>
  </si>
  <si>
    <t>I.</t>
  </si>
  <si>
    <t>Tržby za prodej zboží</t>
  </si>
  <si>
    <t>Náklady vynaložené na prodané zboží</t>
  </si>
  <si>
    <t>+</t>
  </si>
  <si>
    <t>Obchodní marže</t>
  </si>
  <si>
    <t>B</t>
  </si>
  <si>
    <t>Výkonová spotřeba</t>
  </si>
  <si>
    <t>Přidaná hodnota</t>
  </si>
  <si>
    <t>Osobní náklady</t>
  </si>
  <si>
    <t>C.1.</t>
  </si>
  <si>
    <t>Mzdové náklady</t>
  </si>
  <si>
    <t>C.3.</t>
  </si>
  <si>
    <t>Daně a poplatky</t>
  </si>
  <si>
    <t>E.</t>
  </si>
  <si>
    <t>III.</t>
  </si>
  <si>
    <t>F.</t>
  </si>
  <si>
    <t>G.</t>
  </si>
  <si>
    <t>VII.</t>
  </si>
  <si>
    <t>*</t>
  </si>
  <si>
    <t>Provozní výsledek hospodaření</t>
  </si>
  <si>
    <t>Výnosy z dlouhodobého finančního majetku</t>
  </si>
  <si>
    <t>X.</t>
  </si>
  <si>
    <t>XIII.</t>
  </si>
  <si>
    <t>Výnosové úroky</t>
  </si>
  <si>
    <t>N.</t>
  </si>
  <si>
    <t>Nákladové úroky</t>
  </si>
  <si>
    <t>Finanční výsledek hospodaření</t>
  </si>
  <si>
    <t>R.</t>
  </si>
  <si>
    <t>Daň z příjmů za běžnou činnost</t>
  </si>
  <si>
    <t>**</t>
  </si>
  <si>
    <t>Výsledek hospodaření za běžnou činnost</t>
  </si>
  <si>
    <t>Mimořádné výnosy</t>
  </si>
  <si>
    <t>S.</t>
  </si>
  <si>
    <t>Mimořádné náklady</t>
  </si>
  <si>
    <t>Daň z příjmů z mimořádné činnosti</t>
  </si>
  <si>
    <t>Mimořádný výsledek hospodaření</t>
  </si>
  <si>
    <t>***</t>
  </si>
  <si>
    <t>Stav peněžních prostředků na počátku období</t>
  </si>
  <si>
    <t>Z</t>
  </si>
  <si>
    <t>A</t>
  </si>
  <si>
    <t>A.1</t>
  </si>
  <si>
    <t>Úpravy o nepeněžní operace</t>
  </si>
  <si>
    <t>A.1.1</t>
  </si>
  <si>
    <t>Odpisy stálých aktiv</t>
  </si>
  <si>
    <t>A.1.3</t>
  </si>
  <si>
    <t>Změna zůstatků rezerv</t>
  </si>
  <si>
    <t>Zisk (ztráta) z prodeje stálých aktiv</t>
  </si>
  <si>
    <t>A.2</t>
  </si>
  <si>
    <t>Úpravy oběžných aktiv</t>
  </si>
  <si>
    <t>A.2.1</t>
  </si>
  <si>
    <t>Změna stavu pohledávek</t>
  </si>
  <si>
    <t>A.2.2</t>
  </si>
  <si>
    <t>A.2.3</t>
  </si>
  <si>
    <t>Změna stavu zásob</t>
  </si>
  <si>
    <t>A.2.4</t>
  </si>
  <si>
    <t>Peněžní tok z provozní činnosti celkem</t>
  </si>
  <si>
    <t>INVESTIČNÍ ČINNOST</t>
  </si>
  <si>
    <t>B.1</t>
  </si>
  <si>
    <t>B.1.1</t>
  </si>
  <si>
    <t>B.1.3</t>
  </si>
  <si>
    <t>Nabytí dlouhodobého finančního majetku</t>
  </si>
  <si>
    <t>B.2</t>
  </si>
  <si>
    <t>Peněžní tok z investiční činnosti celkem</t>
  </si>
  <si>
    <t>C</t>
  </si>
  <si>
    <t>FINANČNÍ ČINNOST</t>
  </si>
  <si>
    <t>C.1</t>
  </si>
  <si>
    <t>Změna stavu dlouhodobých závazků</t>
  </si>
  <si>
    <t>C.1.1</t>
  </si>
  <si>
    <t>C.1.3</t>
  </si>
  <si>
    <t>C.2</t>
  </si>
  <si>
    <t>Zvýšení a snížení vlastního kapitálu z vybr. operací</t>
  </si>
  <si>
    <t>C.2.1</t>
  </si>
  <si>
    <t>Upsání cenných papírů a účastí (zvýš. zákl. kap.)</t>
  </si>
  <si>
    <t>Peněžní tok z finanční činnosti celkem</t>
  </si>
  <si>
    <t>PENĚŽNÍ TOK CELKEM</t>
  </si>
  <si>
    <t>Stav peněžních prostředků na konci období</t>
  </si>
  <si>
    <t>Nabytí DHM a DNM</t>
  </si>
  <si>
    <t>Změna dlouhodobých úvěrů</t>
  </si>
  <si>
    <t>Změna dluhopisů</t>
  </si>
  <si>
    <t>PENĚŽNÍ TOK Z BĚŽNÉ A MIMOŘÁDNÉ ČINNOSTI</t>
  </si>
  <si>
    <t>Jihočeský kraj</t>
  </si>
  <si>
    <t>Rok</t>
  </si>
  <si>
    <t>HDP b.c.</t>
  </si>
  <si>
    <t>Tržby MO ČR b.c.</t>
  </si>
  <si>
    <t>Míra inflace</t>
  </si>
  <si>
    <t>Závislost na čase:</t>
  </si>
  <si>
    <t>O = 11 802 + 1234,9.t</t>
  </si>
  <si>
    <r>
      <t>O = 12 088 + 1044,3.t + 23,833.t</t>
    </r>
    <r>
      <rPr>
        <vertAlign val="superscript"/>
        <sz val="10"/>
        <rFont val="Arial CE"/>
        <family val="2"/>
      </rPr>
      <t>2</t>
    </r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</si>
  <si>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</si>
  <si>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</si>
  <si>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</si>
  <si>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</si>
  <si>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</si>
  <si>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</si>
  <si>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</si>
  <si>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</si>
  <si>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</si>
  <si>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</si>
  <si>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</si>
  <si>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</si>
  <si>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</si>
  <si>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</si>
  <si>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</si>
  <si>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</si>
  <si>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</si>
  <si>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</si>
  <si>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</si>
  <si>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</si>
  <si>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</si>
  <si>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</si>
  <si>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</si>
  <si>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</si>
  <si>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REZIDUA</t>
  </si>
  <si>
    <t>Očekávané Jihočeský kraj</t>
  </si>
  <si>
    <t>Závislost na HDP:</t>
  </si>
  <si>
    <t>O = -1 240,9 + 0,0101.HDP</t>
  </si>
  <si>
    <r>
      <t>O = 9556,4    - 0,0024.HDP + 0,000000004.HDP</t>
    </r>
    <r>
      <rPr>
        <vertAlign val="superscript"/>
        <sz val="10"/>
        <rFont val="Arial CE"/>
        <family val="2"/>
      </rPr>
      <t>2</t>
    </r>
  </si>
  <si>
    <t>Teoretické hodnoty</t>
  </si>
  <si>
    <t>HDP,MO</t>
  </si>
  <si>
    <t>HDP,MO,Infl</t>
  </si>
  <si>
    <t>Čas lineární</t>
  </si>
  <si>
    <t>Čas polynom</t>
  </si>
  <si>
    <t>HDP lineární</t>
  </si>
  <si>
    <t>HDP polynom</t>
  </si>
  <si>
    <t>Závislost na HDP a MO:</t>
  </si>
  <si>
    <t>0 = - 6 262,48 + 0,008316 * HDP + 0,014613 * MO</t>
  </si>
  <si>
    <t>Závislost na HDP, MO a Inflaci:</t>
  </si>
  <si>
    <t>O = 3935,111 + 0,007825 * HDP + 0,013438 * MO -81,1171 * Inf</t>
  </si>
  <si>
    <t>Závislost na HDP a Inflaci:</t>
  </si>
  <si>
    <t>O = 10 170,78 + 0,009325 . HDP - 94,5181 . Inf</t>
  </si>
  <si>
    <t>HDP, Infl</t>
  </si>
  <si>
    <t>Tempo</t>
  </si>
  <si>
    <t>Skutečnost</t>
  </si>
  <si>
    <t>Korel. koef.</t>
  </si>
  <si>
    <t>Tržby UNIPO</t>
  </si>
  <si>
    <t>Relevantní trh</t>
  </si>
  <si>
    <t>Tržní podíl UNIPO</t>
  </si>
  <si>
    <t>Jiný dlouhodobý finanční majetek</t>
  </si>
  <si>
    <t xml:space="preserve">Samostatné movité věci </t>
  </si>
  <si>
    <t>C.IV.1+2.</t>
  </si>
  <si>
    <t>Peníze a účty v bankách</t>
  </si>
  <si>
    <t>Rentabilita</t>
  </si>
  <si>
    <t>Rentabilita vlastního kapitálu po dani</t>
  </si>
  <si>
    <t>Rentabilita tržeb po dani</t>
  </si>
  <si>
    <t>Likvidita</t>
  </si>
  <si>
    <t>Okamžitá likvidita</t>
  </si>
  <si>
    <t>Pohotová likvidita</t>
  </si>
  <si>
    <t>Běžná likvidita</t>
  </si>
  <si>
    <t>Aktivita</t>
  </si>
  <si>
    <t>Doba obratu zásob</t>
  </si>
  <si>
    <t>Doba obratu pohledávek</t>
  </si>
  <si>
    <t>Zadluženost</t>
  </si>
  <si>
    <t>Doba obratu obchodních závazků</t>
  </si>
  <si>
    <t>Úrokové krytí</t>
  </si>
  <si>
    <t>Průměrná doba splácení dluhů</t>
  </si>
  <si>
    <t>A.1.2</t>
  </si>
  <si>
    <t>C.1.2</t>
  </si>
  <si>
    <t>C.2.2</t>
  </si>
  <si>
    <t>Průměr</t>
  </si>
  <si>
    <t>Rentabilita tržeb z provozního zisku</t>
  </si>
  <si>
    <t>Růst trhu</t>
  </si>
  <si>
    <t>Tempo růstu tržeb UNIPO</t>
  </si>
  <si>
    <t>Rentabilita tržeb z provozního cash flow</t>
  </si>
  <si>
    <t>Podíl vlastního kapitálu na celkovém</t>
  </si>
  <si>
    <t>Struktura aktiv</t>
  </si>
  <si>
    <t>Struktura pasiv</t>
  </si>
  <si>
    <r>
      <t>Krátkodobé pohledávky</t>
    </r>
    <r>
      <rPr>
        <sz val="10"/>
        <rFont val="Arial CE"/>
        <family val="2"/>
      </rPr>
      <t xml:space="preserve"> (obchodní)</t>
    </r>
  </si>
  <si>
    <r>
      <t xml:space="preserve">Dlouhodobé závazky </t>
    </r>
    <r>
      <rPr>
        <sz val="10"/>
        <rFont val="Arial CE"/>
        <family val="2"/>
      </rPr>
      <t>(dluhopisy)</t>
    </r>
  </si>
  <si>
    <r>
      <t xml:space="preserve">Krátkodobé pohledávky </t>
    </r>
    <r>
      <rPr>
        <sz val="10"/>
        <rFont val="Arial CE"/>
        <family val="2"/>
      </rPr>
      <t>(obchodní)</t>
    </r>
  </si>
  <si>
    <t>Tempa růstu aktivních položek</t>
  </si>
  <si>
    <t>Tempa růstu pasivních položek</t>
  </si>
  <si>
    <t xml:space="preserve">Odpisy </t>
  </si>
  <si>
    <t>Položka</t>
  </si>
  <si>
    <t>Ostatní provozní položky celkem</t>
  </si>
  <si>
    <t>Rentabilita celkového kapitálu z EBIT</t>
  </si>
  <si>
    <t>Tempo růstu tržeb</t>
  </si>
  <si>
    <t>g</t>
  </si>
  <si>
    <t>Náročnost růstu tržeb na:</t>
  </si>
  <si>
    <t xml:space="preserve">    - růst pracovního kapitálu</t>
  </si>
  <si>
    <t xml:space="preserve">    - růst dlouhodobého majetku</t>
  </si>
  <si>
    <t>Kalkulovaná úroková míra</t>
  </si>
  <si>
    <t>Pesimistická</t>
  </si>
  <si>
    <t>Střední</t>
  </si>
  <si>
    <t>Optimistická</t>
  </si>
  <si>
    <t>Tržby</t>
  </si>
  <si>
    <t>Odchylka</t>
  </si>
  <si>
    <t>1) Tržby</t>
  </si>
  <si>
    <t>Tempo růstu</t>
  </si>
  <si>
    <t>2) Zisková marže</t>
  </si>
  <si>
    <t>Podíly z tržeb:</t>
  </si>
  <si>
    <t>Odpisy</t>
  </si>
  <si>
    <t>3) Pracovní kapitál</t>
  </si>
  <si>
    <t>Zásoby celkem</t>
  </si>
  <si>
    <t xml:space="preserve">      z toho  materiál</t>
  </si>
  <si>
    <t xml:space="preserve">                 zboží</t>
  </si>
  <si>
    <t>Pohledávky za odběrateli</t>
  </si>
  <si>
    <t>Krátkodobé závazky celkem</t>
  </si>
  <si>
    <t xml:space="preserve">                  závazky k zaměstnancům</t>
  </si>
  <si>
    <t xml:space="preserve">                  závazky ze soc. zabezpečení</t>
  </si>
  <si>
    <t xml:space="preserve">                  stát - daňové závazky a dotace</t>
  </si>
  <si>
    <t>Investice netto</t>
  </si>
  <si>
    <t>Ostatní provozní položky (rezervy, opravné položky)</t>
  </si>
  <si>
    <t>Vnitřní faktory ziskové marže:</t>
  </si>
  <si>
    <t xml:space="preserve">  z toho Mzdové náklady</t>
  </si>
  <si>
    <t xml:space="preserve">            Náklady na sociální zabezpečení</t>
  </si>
  <si>
    <t xml:space="preserve">       z toho závazky z obchodního styku</t>
  </si>
  <si>
    <t>Zisková marže (z KPZ před odpisy)</t>
  </si>
  <si>
    <t>Upravený pracovní kapitál</t>
  </si>
  <si>
    <t>Pohledávky</t>
  </si>
  <si>
    <t>Peněžní prostředky provozně nutné</t>
  </si>
  <si>
    <t>Provozně nutné peníze</t>
  </si>
  <si>
    <t>Investice brutto</t>
  </si>
  <si>
    <t>Nehmotný majetek</t>
  </si>
  <si>
    <t>Samostatné movité věci</t>
  </si>
  <si>
    <t>Stav majetku ke konci roku</t>
  </si>
  <si>
    <t>Investiční náročnost růstu tržeb 1998-2001</t>
  </si>
  <si>
    <t>Majetek</t>
  </si>
  <si>
    <t>Přírůstek tržeb od konce roku 2001 do roku 2005:</t>
  </si>
  <si>
    <t>Přírůstek tržeb od konce roku 1997 do roku 2001:</t>
  </si>
  <si>
    <t>Odhad podle minulého koeficientu náročnosti:</t>
  </si>
  <si>
    <t>Odhad investic pro růst tržeb v letech 2002-2006</t>
  </si>
  <si>
    <t>Odhad podle koeficientu náročnosti u podobných podniků:</t>
  </si>
  <si>
    <t>Minulý koeficent náročnosti</t>
  </si>
  <si>
    <t>Obvyklý koeficent náročnosti</t>
  </si>
  <si>
    <t>Odhad podle názoru podnikového managementu:</t>
  </si>
  <si>
    <t>Výsledný odhad investic (průměr z obvyklých investic a odhadu managementu):</t>
  </si>
  <si>
    <t>4) Dlouhodobý majetek a investice</t>
  </si>
  <si>
    <t>Tis. Kč</t>
  </si>
  <si>
    <t xml:space="preserve">             - zůstatková hodnota</t>
  </si>
  <si>
    <t>Nový     - pořizovací hodnota</t>
  </si>
  <si>
    <t>Celkem  - odpisy</t>
  </si>
  <si>
    <t>Původní - odpisy</t>
  </si>
  <si>
    <t xml:space="preserve">             - odpisy (1/4 z pořizovací hodnoty)</t>
  </si>
  <si>
    <t xml:space="preserve">             - odpisy (1/30 z pořizovací hodnoty)</t>
  </si>
  <si>
    <t xml:space="preserve">              - odpisy (1/6 z pořizovací hodnoty)</t>
  </si>
  <si>
    <t>Pozemky - zůstatková hodnota</t>
  </si>
  <si>
    <t>Celkové investice do dlouhodobého majetku</t>
  </si>
  <si>
    <t>Zůstatková hodnota prodaného zařízení</t>
  </si>
  <si>
    <t>Finanční analýza plánu</t>
  </si>
  <si>
    <t>Zůstatková hodnota</t>
  </si>
  <si>
    <t>Koeficient náročnosti růstu tržeb na růst prac. kap.</t>
  </si>
  <si>
    <t>Výsledný koeficient náročnosti růstu tržeb na investice:</t>
  </si>
  <si>
    <t>mil. Kč</t>
  </si>
  <si>
    <t>Zisková marže po odpisech</t>
  </si>
  <si>
    <t>Zisková marže před odpisy</t>
  </si>
  <si>
    <t>Podíl odpisů na tržbách</t>
  </si>
  <si>
    <t>Zisková marže po dani (31 %)</t>
  </si>
  <si>
    <t>Průměrná náročnost růstu tržeb na investice netto do DM:</t>
  </si>
  <si>
    <t>Analýza citlivosti:</t>
  </si>
  <si>
    <t>A K T I V A</t>
  </si>
  <si>
    <t>P A S I V A</t>
  </si>
  <si>
    <t>Průměrná doba splácení dluhů (roky)</t>
  </si>
  <si>
    <t>Doba obratu pohledávek (dny)</t>
  </si>
  <si>
    <t>Doba obratu obchodních závazků (dny)</t>
  </si>
  <si>
    <t>a) Přepracovaný splátkový kalendář:</t>
  </si>
  <si>
    <t>Datum splacení</t>
  </si>
  <si>
    <t>Počet měsíců od data ocenění</t>
  </si>
  <si>
    <r>
      <t>Částka</t>
    </r>
    <r>
      <rPr>
        <sz val="10"/>
        <rFont val="Arial CE"/>
        <family val="2"/>
      </rPr>
      <t xml:space="preserve">       (tis. Kč)</t>
    </r>
  </si>
  <si>
    <t>b) Zástava:</t>
  </si>
  <si>
    <t>Prodejní cena nemovitosti (tis. Kč)</t>
  </si>
  <si>
    <t>Část pohledávky, která bude uhrazena z prodeje zástavy (tis. Kč):</t>
  </si>
  <si>
    <t>Jmenovitá hodnota pohledávky k 1. 1. 2002 (tis. Kč):</t>
  </si>
  <si>
    <t>1. Rozdělení pohledávky do kategorií</t>
  </si>
  <si>
    <t>2. Stanovení diskontní míry (podle metodiky J. Šantrůčka)</t>
  </si>
  <si>
    <t>Riziko pohledávky:</t>
  </si>
  <si>
    <t>P:</t>
  </si>
  <si>
    <t>V:</t>
  </si>
  <si>
    <t xml:space="preserve">             Riziková přirážka pohledávky:</t>
  </si>
  <si>
    <t xml:space="preserve">             Diskontní míra:</t>
  </si>
  <si>
    <t>b) Příjem z prodeje zástavy:</t>
  </si>
  <si>
    <t>3. Současná hodnota plateb</t>
  </si>
  <si>
    <t>Diskontovaná částka</t>
  </si>
  <si>
    <t>tis. Kč</t>
  </si>
  <si>
    <t>Obvyklé náklady kapitálu pro investice do odvětví dlužníka:</t>
  </si>
  <si>
    <t xml:space="preserve">             t (počet měsíců od data ocenění)</t>
  </si>
  <si>
    <t>Účetní hodnota dluhopisů k 1. 1. 2002:</t>
  </si>
  <si>
    <t>Počet let zbývajících do splatnosti:</t>
  </si>
  <si>
    <t>Ocenění dluhopisů:</t>
  </si>
  <si>
    <t>Investovaný provozně nutný kapitál</t>
  </si>
  <si>
    <t>Investovaný kapitál celkem</t>
  </si>
  <si>
    <t>Provozně potřebná likvidita</t>
  </si>
  <si>
    <t>Provozně potřebný finanční majetek</t>
  </si>
  <si>
    <t>Provozně nepotřebný finanční majetek</t>
  </si>
  <si>
    <t>31. 12.</t>
  </si>
  <si>
    <t>Volné cash flow pro 1. fázi</t>
  </si>
  <si>
    <t>Korigovaný provozní HV</t>
  </si>
  <si>
    <t>Daň z příjmů pro budoucí období:</t>
  </si>
  <si>
    <t>Úpravy o nepeněžní operace (změna rezerv)</t>
  </si>
  <si>
    <t>FCFF</t>
  </si>
  <si>
    <t>Odúročitel pro diskontní míru:</t>
  </si>
  <si>
    <t>Diskontované FCFF k 1. 1. 2002</t>
  </si>
  <si>
    <t>Pokračující hodnota</t>
  </si>
  <si>
    <t xml:space="preserve">    - investice netto celkem</t>
  </si>
  <si>
    <t>Rentabilita investic netto</t>
  </si>
  <si>
    <t>Podklady pro odhad druhé fáze</t>
  </si>
  <si>
    <t>Míra investic netto</t>
  </si>
  <si>
    <t>Parametrický vzorec</t>
  </si>
  <si>
    <t>FCFF 2006</t>
  </si>
  <si>
    <t>Korigovaný prov. HV po upravené dani</t>
  </si>
  <si>
    <t>Investice do provozně nutného prac. kapitálu</t>
  </si>
  <si>
    <t>Současná hodnota 1. fáze</t>
  </si>
  <si>
    <t>Současná hodnota 2. fáze</t>
  </si>
  <si>
    <t xml:space="preserve"> tis. Kč</t>
  </si>
  <si>
    <t>Provozní hodnota brutto</t>
  </si>
  <si>
    <t>Úročený cizí kapitál k datu ocenění</t>
  </si>
  <si>
    <t>Provozní hodnota netto</t>
  </si>
  <si>
    <t>Neprovozní majetek k datu ocenění</t>
  </si>
  <si>
    <t>NOA</t>
  </si>
  <si>
    <t>Vstupní veličiny</t>
  </si>
  <si>
    <t>NOPAT</t>
  </si>
  <si>
    <t>WACC</t>
  </si>
  <si>
    <t>EVA</t>
  </si>
  <si>
    <t>Diskontovaná EVA</t>
  </si>
  <si>
    <t>MVA</t>
  </si>
  <si>
    <t>NOA k datu ocenění</t>
  </si>
  <si>
    <t>Váha</t>
  </si>
  <si>
    <t>Počet x váha</t>
  </si>
  <si>
    <t>OBCHODNÍ RIZIKO</t>
  </si>
  <si>
    <t>I.   Rizika oboru</t>
  </si>
  <si>
    <t>II.  Rizika trhu</t>
  </si>
  <si>
    <t>III. Rizika z konkurence</t>
  </si>
  <si>
    <t>IV. Management</t>
  </si>
  <si>
    <t>V. Výrobní proces</t>
  </si>
  <si>
    <t>VI. Specifické faktory</t>
  </si>
  <si>
    <t>FINANČNÍ RIZIKO</t>
  </si>
  <si>
    <t xml:space="preserve">Počet  kritérií </t>
  </si>
  <si>
    <t xml:space="preserve">   Poměr OR : FR</t>
  </si>
  <si>
    <t>X - stupeň rizika</t>
  </si>
  <si>
    <r>
      <t>a</t>
    </r>
    <r>
      <rPr>
        <b/>
        <vertAlign val="superscript"/>
        <sz val="12"/>
        <rFont val="Times New Roman CE"/>
        <family val="1"/>
      </rPr>
      <t>x</t>
    </r>
  </si>
  <si>
    <t>1  Nízké riziko</t>
  </si>
  <si>
    <t>2  Přiměřené riziko</t>
  </si>
  <si>
    <t>3  Zvýšené riziko</t>
  </si>
  <si>
    <t>4  Vysoké riziko</t>
  </si>
  <si>
    <t>A. OBCHODNÍ RIZIKO</t>
  </si>
  <si>
    <t>I. Rizika oboru</t>
  </si>
  <si>
    <t>Počet</t>
  </si>
  <si>
    <t>Vážený počet</t>
  </si>
  <si>
    <r>
      <t xml:space="preserve">Dílčí riziková přirážka </t>
    </r>
    <r>
      <rPr>
        <b/>
        <sz val="10"/>
        <rFont val="Times New Roman CE"/>
        <family val="1"/>
      </rPr>
      <t>(RP x vážený počet)</t>
    </r>
  </si>
  <si>
    <t>Nízké</t>
  </si>
  <si>
    <t>Přiměřené</t>
  </si>
  <si>
    <t>Zvýšené</t>
  </si>
  <si>
    <t>Vysoké</t>
  </si>
  <si>
    <t>Součet</t>
  </si>
  <si>
    <t>II. Rizika trhu</t>
  </si>
  <si>
    <t>B. FINANČNÍ RIZIKO</t>
  </si>
  <si>
    <t>Finanční rizika</t>
  </si>
  <si>
    <t>NÁKLADY VLASTNÍHO KAPITÁLU</t>
  </si>
  <si>
    <t>Bezriziková výnosová míra</t>
  </si>
  <si>
    <t xml:space="preserve">Obchodní riziko </t>
  </si>
  <si>
    <t>Finanční riziko</t>
  </si>
  <si>
    <t>Riziková prémie celkem</t>
  </si>
  <si>
    <t>Prémie za nižší likviditu</t>
  </si>
  <si>
    <t>Náklady vlastního kapitálu</t>
  </si>
  <si>
    <t>Roční tempo růstu</t>
  </si>
  <si>
    <t>Průměrné tempo růstu za minulost a plán</t>
  </si>
  <si>
    <t>Výkonová spotřeba (tis. Kč)</t>
  </si>
  <si>
    <t>Průměrné tempo růstu výk. spotř.  za minulost a plán</t>
  </si>
  <si>
    <t>Průměrná inflace</t>
  </si>
  <si>
    <t>Průměrná náročnost růstu tržeb na investice netto do pracovní kapitál:</t>
  </si>
  <si>
    <t>Počet hodnocených kritérií</t>
  </si>
  <si>
    <r>
      <t xml:space="preserve">   n</t>
    </r>
    <r>
      <rPr>
        <vertAlign val="subscript"/>
        <sz val="10"/>
        <rFont val="Arial CE"/>
        <family val="2"/>
      </rPr>
      <t>vk max</t>
    </r>
  </si>
  <si>
    <r>
      <t xml:space="preserve">   a  (n</t>
    </r>
    <r>
      <rPr>
        <vertAlign val="subscript"/>
        <sz val="10"/>
        <rFont val="Arial CE"/>
        <family val="2"/>
      </rPr>
      <t>vk max</t>
    </r>
    <r>
      <rPr>
        <sz val="10"/>
        <rFont val="Arial CE"/>
        <family val="0"/>
      </rPr>
      <t xml:space="preserve"> / r</t>
    </r>
    <r>
      <rPr>
        <vertAlign val="subscript"/>
        <sz val="10"/>
        <rFont val="Arial CE"/>
        <family val="2"/>
      </rPr>
      <t>f</t>
    </r>
    <r>
      <rPr>
        <sz val="10"/>
        <rFont val="Arial CE"/>
        <family val="0"/>
      </rPr>
      <t>)^(1/4)</t>
    </r>
  </si>
  <si>
    <r>
      <t xml:space="preserve">   Základní jednotková míra  (r</t>
    </r>
    <r>
      <rPr>
        <vertAlign val="subscript"/>
        <sz val="10"/>
        <rFont val="Arial CE"/>
        <family val="2"/>
      </rPr>
      <t>f</t>
    </r>
    <r>
      <rPr>
        <sz val="10"/>
        <rFont val="Arial CE"/>
        <family val="0"/>
      </rPr>
      <t xml:space="preserve"> / počet)</t>
    </r>
  </si>
  <si>
    <r>
      <t xml:space="preserve">RP </t>
    </r>
    <r>
      <rPr>
        <sz val="10"/>
        <rFont val="Times New Roman CE"/>
        <family val="1"/>
      </rPr>
      <t xml:space="preserve">pro 1 faktor    </t>
    </r>
    <r>
      <rPr>
        <b/>
        <sz val="10"/>
        <rFont val="Times New Roman CE"/>
        <family val="1"/>
      </rPr>
      <t xml:space="preserve">             (=z . r</t>
    </r>
    <r>
      <rPr>
        <b/>
        <vertAlign val="subscript"/>
        <sz val="10"/>
        <rFont val="Times New Roman CE"/>
        <family val="1"/>
      </rPr>
      <t>f</t>
    </r>
    <r>
      <rPr>
        <b/>
        <sz val="10"/>
        <rFont val="Times New Roman CE"/>
        <family val="1"/>
      </rPr>
      <t>/n)</t>
    </r>
  </si>
  <si>
    <r>
      <t>z</t>
    </r>
    <r>
      <rPr>
        <b/>
        <sz val="12"/>
        <rFont val="Times New Roman CE"/>
        <family val="1"/>
      </rPr>
      <t xml:space="preserve">                  </t>
    </r>
    <r>
      <rPr>
        <b/>
        <sz val="10"/>
        <rFont val="Times New Roman CE"/>
        <family val="1"/>
      </rPr>
      <t>(= a</t>
    </r>
    <r>
      <rPr>
        <b/>
        <vertAlign val="superscript"/>
        <sz val="10"/>
        <rFont val="Times New Roman CE"/>
        <family val="1"/>
      </rPr>
      <t>x</t>
    </r>
    <r>
      <rPr>
        <b/>
        <sz val="10"/>
        <rFont val="Times New Roman CE"/>
        <family val="1"/>
      </rPr>
      <t xml:space="preserve"> - 1)</t>
    </r>
  </si>
  <si>
    <r>
      <t>RP                       (=z . r</t>
    </r>
    <r>
      <rPr>
        <b/>
        <vertAlign val="subscript"/>
        <sz val="10"/>
        <rFont val="Times New Roman CE"/>
        <family val="1"/>
      </rPr>
      <t>f</t>
    </r>
    <r>
      <rPr>
        <b/>
        <sz val="10"/>
        <rFont val="Times New Roman CE"/>
        <family val="1"/>
      </rPr>
      <t>/n)</t>
    </r>
  </si>
  <si>
    <t>Beta nezadlužené pro maloochod (průměr za Evropu a USA)</t>
  </si>
  <si>
    <t>Riziková prémie kap. trhu USA (průměr 1926-2001)</t>
  </si>
  <si>
    <t>Rating České republiky</t>
  </si>
  <si>
    <t>Baa1</t>
  </si>
  <si>
    <t>Riziková prémie země</t>
  </si>
  <si>
    <t>Odhad poměru rizikové prémie u akcií oproti dluhopisům</t>
  </si>
  <si>
    <t>Riziková prémie země opravená o rozdíl v inflaci (2%)</t>
  </si>
  <si>
    <r>
      <t>r</t>
    </r>
    <r>
      <rPr>
        <vertAlign val="subscript"/>
        <sz val="10"/>
        <rFont val="Arial CE"/>
        <family val="2"/>
      </rPr>
      <t xml:space="preserve">f </t>
    </r>
    <r>
      <rPr>
        <sz val="10"/>
        <rFont val="Arial CE"/>
        <family val="0"/>
      </rPr>
      <t>(aktuální výnosnost 10letých vládních dluhopisů USA)</t>
    </r>
  </si>
  <si>
    <t>Riziková přirážka za menší společnost - odhad</t>
  </si>
  <si>
    <t>Riziková přirážka za menší likviditu vlastnických podílů - odhad</t>
  </si>
  <si>
    <t>Poměr cizího a vlastního kapitálu u oceňovaného podniku</t>
  </si>
  <si>
    <t>Daňová sazba</t>
  </si>
  <si>
    <t>Beta zadlužené</t>
  </si>
  <si>
    <t>Výsledný podíl CK/VK</t>
  </si>
  <si>
    <t>Dlouhodobý majetek</t>
  </si>
  <si>
    <t>Pohledávky z obchodních vztahů</t>
  </si>
  <si>
    <t>Krátkodobé cenné papíry a podíly</t>
  </si>
  <si>
    <t xml:space="preserve">Krátkodobý finanční majetek </t>
  </si>
  <si>
    <t>Výsledek hospodaření běž. úč. období  (+-)</t>
  </si>
  <si>
    <t>Vydané dluhopisy</t>
  </si>
  <si>
    <t>Závazky z obchodních vztahů</t>
  </si>
  <si>
    <t>Závazky ze sociál. zabezpečení a zdrav. poj.</t>
  </si>
  <si>
    <t>Krátkodobé bankovní úvěry</t>
  </si>
  <si>
    <t xml:space="preserve"> z toho: Závazky z obchodních vztahů</t>
  </si>
  <si>
    <t>Výsledek hospodaření běžného úč. období  (+-)</t>
  </si>
  <si>
    <t>Závazky ze sociálního zabezpečení a zdrav. pojištění</t>
  </si>
  <si>
    <t>Náklady na sociál. zab. a zdrav. poj.</t>
  </si>
  <si>
    <t>Odpisy DNM a DHM</t>
  </si>
  <si>
    <t>Tržby z prodeje DM a materiálu</t>
  </si>
  <si>
    <t>Zůstatková cena prodaného DM a materiálu</t>
  </si>
  <si>
    <t>Výsledek hospodaření za účetní období</t>
  </si>
  <si>
    <t>Výsledek hospodaření před zdaněním</t>
  </si>
  <si>
    <t>Změna stavu rezerv a opravných položek</t>
  </si>
  <si>
    <t>Q.</t>
  </si>
  <si>
    <t>Účetní výsledek hospodaření</t>
  </si>
  <si>
    <t>Změna stavu krátkodobých bankovních úvěrů</t>
  </si>
  <si>
    <t>Změna stavu krátkodobých cenných papírů</t>
  </si>
  <si>
    <t>Nabytí dlouhodobého majetku</t>
  </si>
  <si>
    <t>Výplata dividend a podílů ze zisku</t>
  </si>
  <si>
    <t>Změna stavu krátk. závazků a pasivních účtů čas. rozlišení</t>
  </si>
  <si>
    <t>Změna stavu pohledávek a aktivních účtů čas. rozlišení</t>
  </si>
  <si>
    <t>Změna stavu dlouhodobých závazků a úvěrů</t>
  </si>
  <si>
    <t>Ostatní provozní položky (změna rezerv)</t>
  </si>
  <si>
    <t xml:space="preserve">Změna stavu krátkodobých závazků </t>
  </si>
  <si>
    <t>Zvýšení a snížení VK z vybraných operací</t>
  </si>
  <si>
    <t>a) Provozně potřebný</t>
  </si>
  <si>
    <t>b) Provozně nepotřebný:</t>
  </si>
  <si>
    <t>b) Provozně nepotřebné</t>
  </si>
  <si>
    <t>a) Provozně potřebné</t>
  </si>
  <si>
    <t>Krátkodobý finanční majetek (peníze + účty)</t>
  </si>
  <si>
    <t xml:space="preserve">     - Ostatní dlouhodobé cenné papíry a vklady</t>
  </si>
  <si>
    <t xml:space="preserve">     - Jiný dlouhodobý finanční majetek (pohledávka)</t>
  </si>
  <si>
    <t>a) Hlavní činnost - náklady a výnosy spojené s provozním majetkem</t>
  </si>
  <si>
    <t>b) Náklady na cizí kapitál</t>
  </si>
  <si>
    <t>c) Vedlejší činnost - náklady a výnosy spojené s neprovozním majetkem</t>
  </si>
  <si>
    <t>Výsledek hospodaření z neprovozního majetku</t>
  </si>
  <si>
    <t>d) Celkový výsledek hospodaření</t>
  </si>
  <si>
    <t>Korigovaný provozní výsledek hospodaření</t>
  </si>
  <si>
    <t>Zisková marže po odpisech a po dani</t>
  </si>
  <si>
    <t xml:space="preserve">Daň </t>
  </si>
  <si>
    <t>a) Peněžní tok z provozního majetku</t>
  </si>
  <si>
    <t>Korigovaný provozní výsledek hospodaření (KPZ)</t>
  </si>
  <si>
    <t>Korigovaný provozní VH po dani</t>
  </si>
  <si>
    <t>Odpisy dlouhodobého majetku (provozně nutného)</t>
  </si>
  <si>
    <t>Úpravy oběžných aktiv (provozně nutných)</t>
  </si>
  <si>
    <t>Nabytí dlouhodobého majetku (provozně nutného)</t>
  </si>
  <si>
    <t>1) PENĚŽNÍ TOK Z PROVOZU</t>
  </si>
  <si>
    <t>2) INVESTIČNÍ ČINNOST</t>
  </si>
  <si>
    <t>PENĚŽNÍ TOK Z PROVOZNÍHO MAJETKU CELKEM</t>
  </si>
  <si>
    <t>Snížení dlouhodobého fin. majetku (splátka půjčky)</t>
  </si>
  <si>
    <t>Výsledek hospodaření za účetní období po dani</t>
  </si>
  <si>
    <t>PLATBA NÁKLADOVÝCH ÚROKŮ</t>
  </si>
  <si>
    <t>PENĚŽNÍ TOK Z NEPROVOZNÍHO MAJ. CELKEM</t>
  </si>
  <si>
    <t>c) Peněžní tok z neprovozního majetku</t>
  </si>
  <si>
    <t>d) Finanční činnost</t>
  </si>
  <si>
    <t>Změna dlouhodobých bankovních úvěrů</t>
  </si>
  <si>
    <t>PENĚŽNÍ TOK Z FINANČNÍ ČINNOSTI CELKEM</t>
  </si>
  <si>
    <t>e) Peněžní tok celkem</t>
  </si>
  <si>
    <t>Nabytí neprovozního majetku</t>
  </si>
  <si>
    <t>Prodej neprovozního majetku</t>
  </si>
  <si>
    <t>Mimořádný výsledek hospodaření před daní</t>
  </si>
  <si>
    <t>Celkový výsledek hospodaření před daní</t>
  </si>
  <si>
    <t>Změna dlouhodobého finančního majetku</t>
  </si>
  <si>
    <t>Výnosy z prodeje DHM a DNM</t>
  </si>
  <si>
    <t>Úroková míra z dluhopisů</t>
  </si>
  <si>
    <t>Úroková míra z dlouhodobých úvěrů</t>
  </si>
  <si>
    <t>Úroková míra z krátkodobých úvěrů</t>
  </si>
  <si>
    <t xml:space="preserve">   a daňovou úsporu z nákladových úroků</t>
  </si>
  <si>
    <t xml:space="preserve">*) Diference v dani zahrnuje daň z výnosů z neprovozního majetku, daň z mimořádného zisku </t>
  </si>
  <si>
    <t>Provozní CF v pojetí účetního výkazu peněžních toků</t>
  </si>
  <si>
    <t>Ukazatel</t>
  </si>
  <si>
    <t>Daň připadající na korigovaný VH (d x KPZ)</t>
  </si>
  <si>
    <t>Plánovaná výsledovka (tis. Kč)</t>
  </si>
  <si>
    <t>Plánovaný výkaz peněžních toků (tis.Kč)</t>
  </si>
  <si>
    <t>Plánovaná rozvaha (tis. Kč)</t>
  </si>
  <si>
    <t>Doba obratu zásob (dny)</t>
  </si>
  <si>
    <t>Průměrné vážené náklady kapitálu</t>
  </si>
  <si>
    <t>Vlastní kapitál + nákladové rezervy</t>
  </si>
  <si>
    <t>Dluhopisy</t>
  </si>
  <si>
    <t>Bankovní úvěry krátkodobé</t>
  </si>
  <si>
    <t>Zpoplatněný kapitál celkem</t>
  </si>
  <si>
    <t>Splatnost</t>
  </si>
  <si>
    <t>let</t>
  </si>
  <si>
    <t>Nominální hodnota 1 ks</t>
  </si>
  <si>
    <t>Kč</t>
  </si>
  <si>
    <t>Současný kurs</t>
  </si>
  <si>
    <t>Nominální (kuponová) výnosnost</t>
  </si>
  <si>
    <t>Počet dluhopisů</t>
  </si>
  <si>
    <t>ks</t>
  </si>
  <si>
    <t>Úroková míra</t>
  </si>
  <si>
    <t>rok</t>
  </si>
  <si>
    <t>ZADÁNÍ</t>
  </si>
  <si>
    <t>ŘEŠENÍ</t>
  </si>
  <si>
    <t>a) Váhy položek kapitálu</t>
  </si>
  <si>
    <t>a) Účetní struktura kapitálu k datu ocenění:</t>
  </si>
  <si>
    <t>Počet akcií</t>
  </si>
  <si>
    <t>Cizí kapitál celkem</t>
  </si>
  <si>
    <t>Celkový zpoplatněný kapitál</t>
  </si>
  <si>
    <t>Podíl</t>
  </si>
  <si>
    <t>Zbývající počet let do splatnosti</t>
  </si>
  <si>
    <t>Časová řada ročních toků z dluhopisu</t>
  </si>
  <si>
    <t>Výnos do doby splatnosti dluhopisů</t>
  </si>
  <si>
    <r>
      <t>n</t>
    </r>
    <r>
      <rPr>
        <b/>
        <vertAlign val="subscript"/>
        <sz val="10"/>
        <rFont val="Arial CE"/>
        <family val="2"/>
      </rPr>
      <t>CK</t>
    </r>
  </si>
  <si>
    <t>Tržní hodnota</t>
  </si>
  <si>
    <t>Součin</t>
  </si>
  <si>
    <t>Průměrné náklady cizího kapitálu</t>
  </si>
  <si>
    <t>c) Náklady na vlastní kapitál</t>
  </si>
  <si>
    <t>Odhad pomocí modelu CAPM a rizikové prémie země</t>
  </si>
  <si>
    <r>
      <t xml:space="preserve">Odhad pomocí stavebnicová metody </t>
    </r>
    <r>
      <rPr>
        <i/>
        <sz val="10"/>
        <rFont val="Arial CE"/>
        <family val="2"/>
      </rPr>
      <t>(pomocná informace)</t>
    </r>
  </si>
  <si>
    <t>d) Průměrné vážené náklady kapitálu</t>
  </si>
  <si>
    <t>Náklad</t>
  </si>
  <si>
    <t xml:space="preserve">Cizí kapitál po dani </t>
  </si>
  <si>
    <t>Výsledný podíl VK/K</t>
  </si>
  <si>
    <t>Roční kupónový výnos nominální</t>
  </si>
  <si>
    <t>Roční kupónový výnos po dani</t>
  </si>
  <si>
    <t>Výpočet provozně potřebných peněžních prostředků:</t>
  </si>
  <si>
    <t>Provozně nutný investovaný kapitál:</t>
  </si>
  <si>
    <t>Upravená daň</t>
  </si>
  <si>
    <t>Investice do provozně nutného dlouhodobého majetku</t>
  </si>
  <si>
    <t>P/E</t>
  </si>
  <si>
    <t>P/Tržby</t>
  </si>
  <si>
    <t>EV/EBIT</t>
  </si>
  <si>
    <t>Tempo růstu korigovaného provozního VH</t>
  </si>
  <si>
    <t>Míra investic netto do DM a PK</t>
  </si>
  <si>
    <t>VI. Ostatní faktory</t>
  </si>
  <si>
    <t>b) Informace o položkách kapitálu:</t>
  </si>
  <si>
    <t>Současná tržní cena (dopočet z iterací)</t>
  </si>
  <si>
    <t>(+) odpisy</t>
  </si>
  <si>
    <t>Cenový index řetězový</t>
  </si>
  <si>
    <t>UVH upravený o inflaci</t>
  </si>
  <si>
    <t>Váhy</t>
  </si>
  <si>
    <t>Trvale odnímatelný čistý výnos před odpisy</t>
  </si>
  <si>
    <t>Odpisy z reprodukčních cen ze zadání</t>
  </si>
  <si>
    <t>(-) Tržby z prodeje dlouh.majetku</t>
  </si>
  <si>
    <t>Výnosová hodnota provozní</t>
  </si>
  <si>
    <t>(-) Mimořádné výnosy</t>
  </si>
  <si>
    <t>(+) Mimořádné náklady</t>
  </si>
  <si>
    <t xml:space="preserve">(-) Finanční výnosy </t>
  </si>
  <si>
    <t>Trvale odnímatelný čistý výnos před daní</t>
  </si>
  <si>
    <t>Daňový základ (s odpisy z posledního roku)</t>
  </si>
  <si>
    <t>Daň</t>
  </si>
  <si>
    <t>Trvale odnímatelný čistý výnos po dani</t>
  </si>
  <si>
    <r>
      <t>Kalkulavaná úroková míra (n</t>
    </r>
    <r>
      <rPr>
        <b/>
        <vertAlign val="subscript"/>
        <sz val="10"/>
        <rFont val="Arial CE"/>
        <family val="2"/>
      </rPr>
      <t>VK</t>
    </r>
    <r>
      <rPr>
        <b/>
        <sz val="10"/>
        <rFont val="Arial CE"/>
        <family val="2"/>
      </rPr>
      <t xml:space="preserve"> bez inflace)</t>
    </r>
  </si>
  <si>
    <t>Předpokládaná dlouhodobá inflace</t>
  </si>
  <si>
    <t>Upravený výsledek hospodaření UVH před odpisy</t>
  </si>
  <si>
    <t>Cenový index bazický vztažený k roku 2001</t>
  </si>
  <si>
    <t>UVH upravený o inflaci x váhy</t>
  </si>
  <si>
    <t>UNIPO</t>
  </si>
  <si>
    <t>P/BV</t>
  </si>
  <si>
    <t>EV/Tržby</t>
  </si>
  <si>
    <t>Porovnání násobitelů UNIPO při ocenění na úrovni DCF s průměrnými násobiteli na evrpských trzích</t>
  </si>
  <si>
    <t>Evropský Trh</t>
  </si>
  <si>
    <t>EV/BV</t>
  </si>
  <si>
    <t>EV/EBIDTA</t>
  </si>
  <si>
    <t>EV</t>
  </si>
  <si>
    <t>P</t>
  </si>
  <si>
    <t>Rentabilita investovaného kapitálu</t>
  </si>
  <si>
    <t>1997 - 2001</t>
  </si>
  <si>
    <r>
      <t xml:space="preserve">WACC x NOA </t>
    </r>
    <r>
      <rPr>
        <vertAlign val="subscript"/>
        <sz val="10"/>
        <rFont val="Arial CE"/>
        <family val="2"/>
      </rPr>
      <t>t-1</t>
    </r>
  </si>
  <si>
    <t>Data z veřejných zdrojů</t>
  </si>
  <si>
    <t>Regrese - Čas</t>
  </si>
  <si>
    <t>Regrese - HDP</t>
  </si>
  <si>
    <t>Regrese - HDP, MO</t>
  </si>
  <si>
    <t>Regrese - HDP,Inf</t>
  </si>
  <si>
    <t>Regrese - HDP,MO,Inf</t>
  </si>
  <si>
    <t>ANALÝZA VNĚJŠÍHO POTENCIÁLU</t>
  </si>
  <si>
    <t>3) Vícenásobná regrese - závislost trhu na HDP a tržbách za maloobchod</t>
  </si>
  <si>
    <t>4) Vícenásobná regrese - závislost trhu na HDP a inflaci</t>
  </si>
  <si>
    <t>5) Vícenásobná regrese - závislost trhu na HDP, maloobchodních tržbách a inflaci</t>
  </si>
  <si>
    <t>Tempo 2001 až 2005</t>
  </si>
  <si>
    <t>2) Regresní analýza - závislost trhu na HDP lineární</t>
  </si>
  <si>
    <t>Očekávaná Y</t>
  </si>
  <si>
    <t>Normovaná rezidua</t>
  </si>
  <si>
    <t>Čas</t>
  </si>
  <si>
    <t>1) Regresní analýza - závislost trhu na čase lineární</t>
  </si>
  <si>
    <t>ANALÝZA VNĚJŠÍHO POTENCIÁLU (údaje v mil. Kč)</t>
  </si>
  <si>
    <t>Poznámka:</t>
  </si>
  <si>
    <r>
      <t>R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koeficient determinace = korelační koeficient </t>
    </r>
    <r>
      <rPr>
        <vertAlign val="superscript"/>
        <sz val="10"/>
        <rFont val="Arial CE"/>
        <family val="2"/>
      </rPr>
      <t>2</t>
    </r>
  </si>
  <si>
    <t>Korelační koeficient = 0,9901^0,5 = 0,995</t>
  </si>
  <si>
    <t>HDP - polynom:</t>
  </si>
  <si>
    <t>Čas  - polynom:</t>
  </si>
  <si>
    <t>Korelační koeficient = 0,9854^0,5 = 0,993</t>
  </si>
  <si>
    <t>Vnější potenciál</t>
  </si>
  <si>
    <t>Strategická analýza</t>
  </si>
  <si>
    <t>ANALÝZA TRŽNÍHO PODÍLU UNIPO (údaje v mil. Kč)</t>
  </si>
  <si>
    <t>2001 - 2005</t>
  </si>
  <si>
    <t>Průměrné tempo růstu tržeb UNIPO</t>
  </si>
  <si>
    <t>Shrnutí výsledků regresní analýzy a prognóza trhu</t>
  </si>
  <si>
    <t>Komentář</t>
  </si>
  <si>
    <t>Výsledky regresní analýzy získené pomocí příkazu Excelu: Nástroje - Analýza dat - Regrese</t>
  </si>
  <si>
    <t>Výkazy UNIPO za minulé období</t>
  </si>
  <si>
    <t>Rozvaha</t>
  </si>
  <si>
    <t>FINANČNÍ VÝKAZY UNIPO (údaje v tis. Kč)</t>
  </si>
  <si>
    <t>Výsledovka</t>
  </si>
  <si>
    <t>Výkaz peněžních toků</t>
  </si>
  <si>
    <t>Cash flow</t>
  </si>
  <si>
    <t>Finanční analýza</t>
  </si>
  <si>
    <t>FINANČNÍ ANALÝZA</t>
  </si>
  <si>
    <t>Struktura rozvahy (tj. vertikální analýza)</t>
  </si>
  <si>
    <t>Tempo růstu položek rozvahy (tj. horizontální analýza)</t>
  </si>
  <si>
    <t>z toho: Závazky z obchodních vztahů</t>
  </si>
  <si>
    <t>Struktura rozvahy</t>
  </si>
  <si>
    <t>Tempo rozvaha</t>
  </si>
  <si>
    <t>Struktura výsledovky</t>
  </si>
  <si>
    <t>Tempo výsledovka</t>
  </si>
  <si>
    <t>Vertikální a horizontální analýza finančních výkazů</t>
  </si>
  <si>
    <t>Struktura výsledovky (tj. vertikální analýza)</t>
  </si>
  <si>
    <t>Tempo růstu položek výsledovky (tj. horizontální analýza)</t>
  </si>
  <si>
    <t>Poměrové ukazatele</t>
  </si>
  <si>
    <t>Ukazatele</t>
  </si>
  <si>
    <t>ANALÝZA A PROGNÓZA GENERÁTORŮ HODNOTY</t>
  </si>
  <si>
    <t>Osobní náklady (tis. Kč)</t>
  </si>
  <si>
    <t>Korigovaný provozní zisk před odpisy (tis. Kč)</t>
  </si>
  <si>
    <t>Provozně nutná likvidita</t>
  </si>
  <si>
    <t>Likvidita (peníze / krátkodobé závazky)</t>
  </si>
  <si>
    <t>Peníze  (pokladna + účet)</t>
  </si>
  <si>
    <t>a) Doba obratu ve dnech</t>
  </si>
  <si>
    <t>a) Výpočet koeficientů náročnosti za minulé období</t>
  </si>
  <si>
    <t>b) Odhad investic pro budoucí období</t>
  </si>
  <si>
    <t>Investice ročně</t>
  </si>
  <si>
    <t>c) Plán dlouhodobého majetku, investic a odpisů (tis. Kč)</t>
  </si>
  <si>
    <t>b) Provozně nutné peníze</t>
  </si>
  <si>
    <t>c) Upravený pracovní kapitál (tis. Kč)</t>
  </si>
  <si>
    <t>Generátory</t>
  </si>
  <si>
    <t>Analýza a prognóza generátorů hodnoty</t>
  </si>
  <si>
    <t>Tržby, zisková marže, pracovní kapitál, dlouhodobý majetek</t>
  </si>
  <si>
    <t>FINANČNÍ PLÁN</t>
  </si>
  <si>
    <t>Finanční plán</t>
  </si>
  <si>
    <t>Plán</t>
  </si>
  <si>
    <t>Výsledovka, cash flow, rozvaha, finanční analýza plánu</t>
  </si>
  <si>
    <t>PŘEDBĚŽNÉ ORIENTAČNÍ OCENĚNÍ NA ZÁKLADĚ GENERÁTORŮ HODNOTY</t>
  </si>
  <si>
    <t>Označení</t>
  </si>
  <si>
    <t>Varianta</t>
  </si>
  <si>
    <t>Generátor hodnoty</t>
  </si>
  <si>
    <r>
      <t>r</t>
    </r>
    <r>
      <rPr>
        <vertAlign val="subscript"/>
        <sz val="10"/>
        <rFont val="Arial"/>
        <family val="2"/>
      </rPr>
      <t>ZPx</t>
    </r>
  </si>
  <si>
    <r>
      <t>k</t>
    </r>
    <r>
      <rPr>
        <vertAlign val="subscript"/>
        <sz val="10"/>
        <rFont val="Arial"/>
        <family val="2"/>
      </rPr>
      <t>WC</t>
    </r>
  </si>
  <si>
    <r>
      <t>k</t>
    </r>
    <r>
      <rPr>
        <vertAlign val="subscript"/>
        <sz val="10"/>
        <rFont val="Arial"/>
        <family val="2"/>
      </rPr>
      <t>DMx</t>
    </r>
  </si>
  <si>
    <r>
      <t>i</t>
    </r>
    <r>
      <rPr>
        <vertAlign val="subscript"/>
        <sz val="10"/>
        <rFont val="Arial"/>
        <family val="2"/>
      </rPr>
      <t>k</t>
    </r>
  </si>
  <si>
    <t>Hodnota podniku brutto</t>
  </si>
  <si>
    <t>OCENĚNÍ PROVOZNĚ NEPOTŘEBNÉ POHLEDÁVKY</t>
  </si>
  <si>
    <t>OCENĚNÍ PROVOZNĚ NEPOTŘEBNÝCH NAKOUPENÝCH DLUHOPISŮ</t>
  </si>
  <si>
    <t>Předběžné orientační ocenění na základě generátorů hodnoty</t>
  </si>
  <si>
    <t>Generátory - ocenění</t>
  </si>
  <si>
    <t>Náklady kapitálu (diskontní míra pro výnosové ocenění)</t>
  </si>
  <si>
    <t>Náklady vlastního kapitálu odvozené z CAPM pomocí rizika země</t>
  </si>
  <si>
    <t>Náklady vlastního kapitálu odvozené pomocí komplexní stavebnicové metody</t>
  </si>
  <si>
    <t>Riziko selhání země (prémie USA dluhopisů Baa1 oproti AAA)</t>
  </si>
  <si>
    <t xml:space="preserve">   Bezriziková výnosová míra:</t>
  </si>
  <si>
    <t>NÁKLADY VLASTNÍHO KAPITÁLU -  CAPM S RIZIKOVOU PRÉMIÍ ZEMĚ</t>
  </si>
  <si>
    <t>NÁKLADY VLASTNÍHO KAPITÁLU - KOMPLEXNÍ STAVEBNICOVÁ METODA</t>
  </si>
  <si>
    <t>Celkové náklady kapitálu</t>
  </si>
  <si>
    <t>PRŮMĚRNÉ VÁŽENÉ NÁKLADY KAPITÁLU</t>
  </si>
  <si>
    <t>Položka kapitálu</t>
  </si>
  <si>
    <t>VÝNOSOVÉ OCENĚNÍ - METODA DCF</t>
  </si>
  <si>
    <t>Gordonův vzorec</t>
  </si>
  <si>
    <t>Kontrolní propočty tržní struktury pro odhad nákladů kapitálu</t>
  </si>
  <si>
    <t>Výnosové ocenění k 1. 1. 2002</t>
  </si>
  <si>
    <t>VÝNOSOVÉ OCENĚNÍ - METODA EVA / MVA</t>
  </si>
  <si>
    <t>VÝNOSOVÉ OCENĚNÍ - METODA KAPITALIZOVANÝCH ČISTÝCH VÝNOSŮ</t>
  </si>
  <si>
    <t>Paušální metoda</t>
  </si>
  <si>
    <t>Výsledná hodnota vlastního kapitálu podle EVA</t>
  </si>
  <si>
    <t>Výsledná hodnota vlastního kapitálu podle DCF</t>
  </si>
  <si>
    <t>Hodnota vlastního kapitálu podle KČV</t>
  </si>
  <si>
    <t>Výnosové ocenění podniku UNIPO</t>
  </si>
  <si>
    <t>DCF</t>
  </si>
  <si>
    <t>KČV</t>
  </si>
  <si>
    <t>Metoda diskontovaných peněžních toků</t>
  </si>
  <si>
    <t>Metoda ekonomické přidané hodnoty</t>
  </si>
  <si>
    <t>Metoda kapitalizovaných čistých výnosů (paušální)</t>
  </si>
  <si>
    <t>TRŽNÍ POROVNÁNÍ - orientační propočet násobitelů pro UNIPO</t>
  </si>
  <si>
    <t>Vstupní veličiny za UNIPO:</t>
  </si>
  <si>
    <t>4. Hodnota pohledávky celkem (tis. Kč)</t>
  </si>
  <si>
    <t>Výnos do doby splatnosti u podobně rizikových dluhopisů</t>
  </si>
  <si>
    <t>Základní údaje o dluhopisech:</t>
  </si>
  <si>
    <t>Zásobitel pro 7 let a 7 %</t>
  </si>
  <si>
    <t>Současná hodnota kupónových plateb</t>
  </si>
  <si>
    <t>Současná hodnota splátky nominální hodnoty</t>
  </si>
  <si>
    <t>Tržní hodnota dluhopisů</t>
  </si>
  <si>
    <t>Majetkové ocenění - provozně nepotřebné položky</t>
  </si>
  <si>
    <t>Ocenění poskytnuté půjčky</t>
  </si>
  <si>
    <t>Ocenění nakoupených dluhopisů</t>
  </si>
  <si>
    <t>kap. 3.2.2.3</t>
  </si>
  <si>
    <t>kap. 3.2.4</t>
  </si>
  <si>
    <t>Prognóza tržeb UNIPO na základě prognózy trhu a tržního podílu</t>
  </si>
  <si>
    <t>Výkazy za roky 1997 až 2001</t>
  </si>
  <si>
    <t>Příloha - zadání příkladu UNIPO</t>
  </si>
  <si>
    <t>kap. 3.5.6</t>
  </si>
  <si>
    <t>kap. 3.6</t>
  </si>
  <si>
    <t>kap. 4.1.6.4</t>
  </si>
  <si>
    <t>kap. 4.1.6.5</t>
  </si>
  <si>
    <t>kap. 4.1.6.7</t>
  </si>
  <si>
    <t>kap. 4.2.3.5</t>
  </si>
  <si>
    <t>kap. 7.1</t>
  </si>
  <si>
    <t>kap. 6.6.3.3</t>
  </si>
  <si>
    <t>Číslo a název listu</t>
  </si>
  <si>
    <t>TRŽNÍ HODNOTA PODNIKU UNIPO, A.S.</t>
  </si>
  <si>
    <t xml:space="preserve">Modelový příklad ke knize: </t>
  </si>
  <si>
    <t>Mařík, M. a kol.: Metody oceňování podniku - 1. Díl, Ekopress 2003</t>
  </si>
  <si>
    <t>Příjmy z neprovozního majetku a mimoř. příjmy</t>
  </si>
  <si>
    <t>Diference v platbě daně oproti dani z KPZ                 *)</t>
  </si>
  <si>
    <t>Provozní hodnota VK na 1 akcii (Kč)</t>
  </si>
  <si>
    <t>Výsledná hodnota VK na 1 akcii (Kč)</t>
  </si>
  <si>
    <t>(+) Zůst.cena prodaného dlouhodobého majetku</t>
  </si>
  <si>
    <t>(+) Mimořádné osobní náklady - restrukturalizace</t>
  </si>
  <si>
    <t>v rámci kapitoly</t>
  </si>
  <si>
    <t>kap. 3.3.4</t>
  </si>
  <si>
    <t>kap. 3.5.5</t>
  </si>
  <si>
    <t>kap. 4.1.2.2, 4.1.3.2 a 4.1.4.4</t>
  </si>
  <si>
    <t>kap. 4.4.8</t>
  </si>
  <si>
    <t>kap. 6.7.2</t>
  </si>
  <si>
    <t>Souhrnné ocenění</t>
  </si>
  <si>
    <t>Přehled výsledků jednotlivých metod a orientační propočet násobitelů pro UNIPO z ocenění metodou DCF jako doplňková informace pro souhrnné ocenění UNIPO</t>
  </si>
  <si>
    <t>na straně</t>
  </si>
  <si>
    <t>V knize zařazeno:</t>
  </si>
  <si>
    <t>149, 155, 168</t>
  </si>
  <si>
    <t>nVK - CAPM</t>
  </si>
  <si>
    <t>nVK - Stavebnice</t>
  </si>
  <si>
    <t>VÝNOSOVÉ OCENĚNÍ</t>
  </si>
  <si>
    <t>Metoda DCF</t>
  </si>
  <si>
    <t>Metoda EVA</t>
  </si>
  <si>
    <t>MAJETKOVÉ OCENĚNÍ</t>
  </si>
  <si>
    <t>Účetní hodnota</t>
  </si>
  <si>
    <t>Substanční hodnota (odhad)</t>
  </si>
  <si>
    <t>Likvidační hodnota (odhad)</t>
  </si>
  <si>
    <t>Goodwill</t>
  </si>
  <si>
    <t>Na úrovni DCF a EVA</t>
  </si>
  <si>
    <t>VÝSLEDNÁ TRŽNÍ HODNOTA (zaokrouhleno)</t>
  </si>
  <si>
    <t>Metoda KČV paušální</t>
  </si>
  <si>
    <t>EV = enterprise value</t>
  </si>
  <si>
    <t xml:space="preserve">         (tržní hodnota investovaného kapitálu)</t>
  </si>
  <si>
    <t>P   = price</t>
  </si>
  <si>
    <t xml:space="preserve">        (tržní cena akcie, tj. vlastního kapitálu)</t>
  </si>
  <si>
    <t xml:space="preserve">Po klepnutí na buňky s vypočítanou hodnotou v jednotlivých tabulkách je možné prohlédnout si </t>
  </si>
  <si>
    <t>v řádku vzorců způsob výpočtu dané hodnoty.</t>
  </si>
  <si>
    <t>Klepnutím na název listu v obsahu se seznamem listů lze rychle přejít na požadovanou část příkladu.</t>
  </si>
  <si>
    <t>Skok na obsah</t>
  </si>
  <si>
    <t>V pravém horním rohu každého listu je pak hypertextový odkaz "Skok na obsah", na který je možné</t>
  </si>
  <si>
    <t>klepnout a rychle se tak vrátit na tento výchozí list s obsahem.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</si>
</sst>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;\-0_)"/>
    <numFmt numFmtId="165" formatCode="0_)"/>
    <numFmt numFmtId="166" formatCode="0_);\-0_);"/>
    <numFmt numFmtId="167" formatCode="#,##0_);[Red]\-#,##0_)"/>
    <numFmt numFmtId="168" formatCode="#,##0.0"/>
    <numFmt numFmtId="169" formatCode="0.0%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"/>
    <numFmt numFmtId="181" formatCode="0.00000000"/>
    <numFmt numFmtId="182" formatCode="0.0000000"/>
    <numFmt numFmtId="183" formatCode="#,##0_)"/>
    <numFmt numFmtId="184" formatCode="#,##0.0_)"/>
    <numFmt numFmtId="185" formatCode="#,##0.00_)"/>
    <numFmt numFmtId="186" formatCode="0.0000%"/>
    <numFmt numFmtId="187" formatCode="0.00000%"/>
    <numFmt numFmtId="188" formatCode="0.000000%"/>
    <numFmt numFmtId="189" formatCode="#,##0.000"/>
    <numFmt numFmtId="190" formatCode="#,##0_ ;\-#,##0\ "/>
    <numFmt numFmtId="191" formatCode="#,##0_X_X_X_X"/>
    <numFmt numFmtId="192" formatCode="#,##0_X_X"/>
  </numFmts>
  <fonts count="6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name val="Times New Roman CE"/>
      <family val="1"/>
    </font>
    <font>
      <vertAlign val="superscript"/>
      <sz val="8.75"/>
      <name val="Arial CE"/>
      <family val="0"/>
    </font>
    <font>
      <vertAlign val="superscript"/>
      <sz val="10"/>
      <name val="Arial CE"/>
      <family val="2"/>
    </font>
    <font>
      <b/>
      <sz val="10.5"/>
      <name val="Arial CE"/>
      <family val="0"/>
    </font>
    <font>
      <i/>
      <sz val="10"/>
      <name val="Arial CE"/>
      <family val="0"/>
    </font>
    <font>
      <sz val="8.75"/>
      <name val="Arial CE"/>
      <family val="0"/>
    </font>
    <font>
      <b/>
      <i/>
      <sz val="10"/>
      <name val="Arial CE"/>
      <family val="2"/>
    </font>
    <font>
      <b/>
      <sz val="10"/>
      <color indexed="12"/>
      <name val="Arial CE"/>
      <family val="2"/>
    </font>
    <font>
      <i/>
      <sz val="8"/>
      <name val="Arial CE"/>
      <family val="2"/>
    </font>
    <font>
      <b/>
      <sz val="9.5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6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0"/>
      <name val="Times New Roman CE"/>
      <family val="1"/>
    </font>
    <font>
      <b/>
      <vertAlign val="subscript"/>
      <sz val="10"/>
      <name val="Times New Roman CE"/>
      <family val="1"/>
    </font>
    <font>
      <i/>
      <sz val="12"/>
      <name val="Times New Roman CE"/>
      <family val="0"/>
    </font>
    <font>
      <vertAlign val="subscript"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10"/>
      <color indexed="62"/>
      <name val="Arial CE"/>
      <family val="2"/>
    </font>
    <font>
      <sz val="10"/>
      <color indexed="62"/>
      <name val="Arial CE"/>
      <family val="2"/>
    </font>
    <font>
      <sz val="14"/>
      <color indexed="12"/>
      <name val="Arial CE"/>
      <family val="2"/>
    </font>
    <font>
      <b/>
      <sz val="10"/>
      <color indexed="16"/>
      <name val="Arial CE"/>
      <family val="2"/>
    </font>
    <font>
      <b/>
      <sz val="14"/>
      <color indexed="10"/>
      <name val="Arial CE"/>
      <family val="2"/>
    </font>
    <font>
      <b/>
      <sz val="12"/>
      <color indexed="16"/>
      <name val="Arial CE"/>
      <family val="2"/>
    </font>
    <font>
      <b/>
      <vertAlign val="subscript"/>
      <sz val="10"/>
      <name val="Arial CE"/>
      <family val="2"/>
    </font>
    <font>
      <b/>
      <sz val="12"/>
      <color indexed="10"/>
      <name val="Arial CE"/>
      <family val="2"/>
    </font>
    <font>
      <b/>
      <i/>
      <sz val="10"/>
      <color indexed="16"/>
      <name val="Arial CE"/>
      <family val="2"/>
    </font>
    <font>
      <b/>
      <i/>
      <sz val="8"/>
      <name val="Arial CE"/>
      <family val="2"/>
    </font>
    <font>
      <i/>
      <sz val="10"/>
      <color indexed="16"/>
      <name val="Arial CE"/>
      <family val="2"/>
    </font>
    <font>
      <b/>
      <sz val="9"/>
      <name val="Arial CE"/>
      <family val="2"/>
    </font>
    <font>
      <b/>
      <sz val="12"/>
      <color indexed="12"/>
      <name val="Arial CE"/>
      <family val="2"/>
    </font>
    <font>
      <b/>
      <sz val="10"/>
      <color indexed="18"/>
      <name val="Arial CE"/>
      <family val="2"/>
    </font>
    <font>
      <b/>
      <sz val="8.75"/>
      <name val="Arial CE"/>
      <family val="0"/>
    </font>
    <font>
      <sz val="10"/>
      <color indexed="56"/>
      <name val="Arial CE"/>
      <family val="2"/>
    </font>
    <font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56"/>
      <name val="Arial CE"/>
      <family val="2"/>
    </font>
    <font>
      <i/>
      <sz val="10"/>
      <color indexed="17"/>
      <name val="Arial CE"/>
      <family val="2"/>
    </font>
    <font>
      <sz val="10"/>
      <color indexed="16"/>
      <name val="Arial CE"/>
      <family val="2"/>
    </font>
    <font>
      <b/>
      <sz val="10"/>
      <color indexed="17"/>
      <name val="Arial CE"/>
      <family val="2"/>
    </font>
    <font>
      <b/>
      <sz val="10"/>
      <color indexed="61"/>
      <name val="Arial CE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Times New Roman CE"/>
      <family val="1"/>
    </font>
    <font>
      <sz val="10"/>
      <color indexed="18"/>
      <name val="Arial CE"/>
      <family val="2"/>
    </font>
    <font>
      <b/>
      <sz val="12"/>
      <color indexed="18"/>
      <name val="Times New Roman CE"/>
      <family val="1"/>
    </font>
    <font>
      <i/>
      <sz val="9"/>
      <name val="Arial CE"/>
      <family val="2"/>
    </font>
    <font>
      <sz val="10"/>
      <color indexed="61"/>
      <name val="Arial CE"/>
      <family val="2"/>
    </font>
    <font>
      <i/>
      <sz val="10"/>
      <color indexed="61"/>
      <name val="Arial CE"/>
      <family val="2"/>
    </font>
    <font>
      <b/>
      <sz val="11"/>
      <color indexed="16"/>
      <name val="Arial CE"/>
      <family val="2"/>
    </font>
    <font>
      <sz val="11"/>
      <name val="Times New Roman CE"/>
      <family val="1"/>
    </font>
    <font>
      <sz val="10"/>
      <color indexed="2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5" fontId="1" fillId="2" borderId="0" applyBorder="0">
      <alignment/>
      <protection/>
    </xf>
    <xf numFmtId="165" fontId="2" fillId="2" borderId="0" applyBorder="0">
      <alignment/>
      <protection/>
    </xf>
    <xf numFmtId="164" fontId="1" fillId="2" borderId="0" applyBorder="0">
      <alignment horizontal="left"/>
      <protection/>
    </xf>
    <xf numFmtId="164" fontId="2" fillId="2" borderId="0" applyBorder="0">
      <alignment horizontal="left"/>
      <protection/>
    </xf>
    <xf numFmtId="167" fontId="3" fillId="3" borderId="1">
      <alignment/>
      <protection locked="0"/>
    </xf>
    <xf numFmtId="166" fontId="1" fillId="4" borderId="0" applyBorder="0">
      <alignment horizontal="left"/>
      <protection/>
    </xf>
    <xf numFmtId="166" fontId="2" fillId="4" borderId="0" applyBorder="0">
      <alignment horizontal="left"/>
      <protection/>
    </xf>
    <xf numFmtId="167" fontId="2" fillId="5" borderId="1">
      <alignment/>
      <protection/>
    </xf>
    <xf numFmtId="167" fontId="2" fillId="6" borderId="1">
      <alignment/>
      <protection/>
    </xf>
    <xf numFmtId="0" fontId="0" fillId="7" borderId="2" applyBorder="0">
      <alignment/>
      <protection/>
    </xf>
    <xf numFmtId="1" fontId="1" fillId="7" borderId="0" applyBorder="0">
      <alignment horizontal="left"/>
      <protection/>
    </xf>
    <xf numFmtId="164" fontId="1" fillId="8" borderId="3" applyNumberFormat="0" applyBorder="0">
      <alignment horizontal="center" vertical="center"/>
      <protection/>
    </xf>
  </cellStyleXfs>
  <cellXfs count="1301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4" xfId="25" applyFont="1" applyFill="1" applyBorder="1">
      <alignment horizontal="left"/>
      <protection/>
    </xf>
    <xf numFmtId="164" fontId="0" fillId="0" borderId="0" xfId="25" applyFont="1" applyFill="1" applyBorder="1">
      <alignment horizontal="left"/>
      <protection/>
    </xf>
    <xf numFmtId="166" fontId="0" fillId="0" borderId="0" xfId="28" applyFont="1" applyFill="1" applyBorder="1">
      <alignment horizontal="left"/>
      <protection/>
    </xf>
    <xf numFmtId="0" fontId="0" fillId="0" borderId="0" xfId="0" applyFill="1" applyAlignment="1">
      <alignment/>
    </xf>
    <xf numFmtId="164" fontId="0" fillId="0" borderId="5" xfId="25" applyFont="1" applyFill="1" applyBorder="1">
      <alignment horizontal="left"/>
      <protection/>
    </xf>
    <xf numFmtId="167" fontId="0" fillId="0" borderId="0" xfId="0" applyNumberFormat="1" applyAlignment="1">
      <alignment/>
    </xf>
    <xf numFmtId="164" fontId="4" fillId="0" borderId="0" xfId="24" applyFont="1" applyFill="1" applyBorder="1">
      <alignment horizontal="left"/>
      <protection/>
    </xf>
    <xf numFmtId="167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10" fontId="0" fillId="0" borderId="0" xfId="20" applyNumberFormat="1" applyAlignment="1">
      <alignment/>
    </xf>
    <xf numFmtId="10" fontId="4" fillId="0" borderId="0" xfId="2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20" applyNumberFormat="1" applyAlignment="1">
      <alignment/>
    </xf>
    <xf numFmtId="174" fontId="0" fillId="0" borderId="0" xfId="0" applyNumberFormat="1" applyAlignment="1">
      <alignment/>
    </xf>
    <xf numFmtId="167" fontId="5" fillId="0" borderId="0" xfId="26" applyFont="1" applyFill="1" applyBorder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6" fontId="4" fillId="0" borderId="7" xfId="27" applyFont="1" applyFill="1" applyBorder="1">
      <alignment horizontal="left"/>
      <protection/>
    </xf>
    <xf numFmtId="166" fontId="4" fillId="0" borderId="7" xfId="28" applyFont="1" applyFill="1" applyBorder="1">
      <alignment horizontal="left"/>
      <protection/>
    </xf>
    <xf numFmtId="166" fontId="0" fillId="0" borderId="7" xfId="28" applyFont="1" applyFill="1" applyBorder="1">
      <alignment horizontal="left"/>
      <protection/>
    </xf>
    <xf numFmtId="166" fontId="4" fillId="0" borderId="8" xfId="27" applyFont="1" applyFill="1" applyBorder="1">
      <alignment horizontal="left"/>
      <protection/>
    </xf>
    <xf numFmtId="169" fontId="4" fillId="0" borderId="9" xfId="20" applyNumberFormat="1" applyFont="1" applyFill="1" applyBorder="1" applyAlignment="1">
      <alignment/>
    </xf>
    <xf numFmtId="169" fontId="4" fillId="0" borderId="10" xfId="20" applyNumberFormat="1" applyFont="1" applyFill="1" applyBorder="1" applyAlignment="1">
      <alignment/>
    </xf>
    <xf numFmtId="169" fontId="4" fillId="0" borderId="11" xfId="20" applyNumberFormat="1" applyFont="1" applyFill="1" applyBorder="1" applyAlignment="1">
      <alignment/>
    </xf>
    <xf numFmtId="169" fontId="5" fillId="0" borderId="9" xfId="20" applyNumberFormat="1" applyFont="1" applyFill="1" applyBorder="1" applyAlignment="1">
      <alignment/>
    </xf>
    <xf numFmtId="169" fontId="5" fillId="0" borderId="10" xfId="20" applyNumberFormat="1" applyFont="1" applyFill="1" applyBorder="1" applyAlignment="1">
      <alignment/>
    </xf>
    <xf numFmtId="169" fontId="5" fillId="0" borderId="11" xfId="20" applyNumberFormat="1" applyFont="1" applyFill="1" applyBorder="1" applyAlignment="1">
      <alignment/>
    </xf>
    <xf numFmtId="166" fontId="4" fillId="0" borderId="12" xfId="27" applyFont="1" applyFill="1" applyBorder="1">
      <alignment horizontal="left"/>
      <protection/>
    </xf>
    <xf numFmtId="169" fontId="4" fillId="0" borderId="13" xfId="20" applyNumberFormat="1" applyFont="1" applyFill="1" applyBorder="1" applyAlignment="1">
      <alignment/>
    </xf>
    <xf numFmtId="169" fontId="4" fillId="0" borderId="14" xfId="20" applyNumberFormat="1" applyFont="1" applyFill="1" applyBorder="1" applyAlignment="1">
      <alignment/>
    </xf>
    <xf numFmtId="169" fontId="4" fillId="0" borderId="15" xfId="20" applyNumberFormat="1" applyFont="1" applyFill="1" applyBorder="1" applyAlignment="1">
      <alignment/>
    </xf>
    <xf numFmtId="166" fontId="4" fillId="0" borderId="8" xfId="28" applyFont="1" applyFill="1" applyBorder="1">
      <alignment horizontal="left"/>
      <protection/>
    </xf>
    <xf numFmtId="169" fontId="4" fillId="0" borderId="16" xfId="20" applyNumberFormat="1" applyFont="1" applyFill="1" applyBorder="1" applyAlignment="1">
      <alignment/>
    </xf>
    <xf numFmtId="169" fontId="4" fillId="0" borderId="17" xfId="20" applyNumberFormat="1" applyFont="1" applyFill="1" applyBorder="1" applyAlignment="1">
      <alignment/>
    </xf>
    <xf numFmtId="169" fontId="4" fillId="0" borderId="18" xfId="20" applyNumberFormat="1" applyFont="1" applyFill="1" applyBorder="1" applyAlignment="1">
      <alignment/>
    </xf>
    <xf numFmtId="166" fontId="0" fillId="0" borderId="8" xfId="28" applyFont="1" applyFill="1" applyBorder="1">
      <alignment horizontal="left"/>
      <protection/>
    </xf>
    <xf numFmtId="169" fontId="5" fillId="0" borderId="17" xfId="20" applyNumberFormat="1" applyFont="1" applyFill="1" applyBorder="1" applyAlignment="1">
      <alignment/>
    </xf>
    <xf numFmtId="169" fontId="5" fillId="0" borderId="18" xfId="20" applyNumberFormat="1" applyFont="1" applyFill="1" applyBorder="1" applyAlignment="1">
      <alignment/>
    </xf>
    <xf numFmtId="166" fontId="4" fillId="0" borderId="19" xfId="27" applyFont="1" applyFill="1" applyBorder="1">
      <alignment horizontal="left"/>
      <protection/>
    </xf>
    <xf numFmtId="166" fontId="4" fillId="0" borderId="20" xfId="28" applyFont="1" applyFill="1" applyBorder="1">
      <alignment horizontal="left"/>
      <protection/>
    </xf>
    <xf numFmtId="169" fontId="20" fillId="0" borderId="1" xfId="20" applyNumberFormat="1" applyFont="1" applyFill="1" applyBorder="1" applyAlignment="1">
      <alignment/>
    </xf>
    <xf numFmtId="169" fontId="20" fillId="0" borderId="21" xfId="20" applyNumberFormat="1" applyFont="1" applyFill="1" applyBorder="1" applyAlignment="1">
      <alignment/>
    </xf>
    <xf numFmtId="166" fontId="0" fillId="0" borderId="22" xfId="28" applyFont="1" applyFill="1" applyBorder="1">
      <alignment horizontal="left"/>
      <protection/>
    </xf>
    <xf numFmtId="169" fontId="5" fillId="0" borderId="23" xfId="20" applyNumberFormat="1" applyFont="1" applyFill="1" applyBorder="1" applyAlignment="1">
      <alignment/>
    </xf>
    <xf numFmtId="169" fontId="5" fillId="0" borderId="24" xfId="20" applyNumberFormat="1" applyFont="1" applyFill="1" applyBorder="1" applyAlignment="1">
      <alignment/>
    </xf>
    <xf numFmtId="169" fontId="5" fillId="0" borderId="25" xfId="20" applyNumberFormat="1" applyFont="1" applyFill="1" applyBorder="1" applyAlignment="1">
      <alignment/>
    </xf>
    <xf numFmtId="169" fontId="4" fillId="0" borderId="1" xfId="20" applyNumberFormat="1" applyFont="1" applyFill="1" applyBorder="1" applyAlignment="1">
      <alignment/>
    </xf>
    <xf numFmtId="169" fontId="4" fillId="0" borderId="21" xfId="20" applyNumberFormat="1" applyFont="1" applyFill="1" applyBorder="1" applyAlignment="1">
      <alignment/>
    </xf>
    <xf numFmtId="166" fontId="4" fillId="0" borderId="26" xfId="28" applyFont="1" applyFill="1" applyBorder="1">
      <alignment horizontal="left"/>
      <protection/>
    </xf>
    <xf numFmtId="169" fontId="4" fillId="0" borderId="27" xfId="20" applyNumberFormat="1" applyFont="1" applyFill="1" applyBorder="1" applyAlignment="1">
      <alignment/>
    </xf>
    <xf numFmtId="169" fontId="4" fillId="0" borderId="28" xfId="20" applyNumberFormat="1" applyFont="1" applyFill="1" applyBorder="1" applyAlignment="1">
      <alignment/>
    </xf>
    <xf numFmtId="169" fontId="4" fillId="0" borderId="29" xfId="20" applyNumberFormat="1" applyFont="1" applyFill="1" applyBorder="1" applyAlignment="1">
      <alignment/>
    </xf>
    <xf numFmtId="169" fontId="4" fillId="0" borderId="30" xfId="20" applyNumberFormat="1" applyFont="1" applyFill="1" applyBorder="1" applyAlignment="1">
      <alignment/>
    </xf>
    <xf numFmtId="169" fontId="4" fillId="0" borderId="31" xfId="20" applyNumberFormat="1" applyFont="1" applyFill="1" applyBorder="1" applyAlignment="1">
      <alignment/>
    </xf>
    <xf numFmtId="169" fontId="5" fillId="0" borderId="32" xfId="20" applyNumberFormat="1" applyFont="1" applyFill="1" applyBorder="1" applyAlignment="1">
      <alignment/>
    </xf>
    <xf numFmtId="169" fontId="5" fillId="0" borderId="31" xfId="20" applyNumberFormat="1" applyFont="1" applyFill="1" applyBorder="1" applyAlignment="1">
      <alignment/>
    </xf>
    <xf numFmtId="166" fontId="0" fillId="0" borderId="20" xfId="28" applyFont="1" applyFill="1" applyBorder="1">
      <alignment horizontal="left"/>
      <protection/>
    </xf>
    <xf numFmtId="0" fontId="4" fillId="0" borderId="0" xfId="0" applyFont="1" applyFill="1" applyBorder="1" applyAlignment="1">
      <alignment/>
    </xf>
    <xf numFmtId="169" fontId="0" fillId="0" borderId="9" xfId="20" applyNumberFormat="1" applyFont="1" applyFill="1" applyBorder="1" applyAlignment="1">
      <alignment/>
    </xf>
    <xf numFmtId="169" fontId="0" fillId="0" borderId="10" xfId="20" applyNumberFormat="1" applyFont="1" applyFill="1" applyBorder="1" applyAlignment="1">
      <alignment/>
    </xf>
    <xf numFmtId="169" fontId="0" fillId="0" borderId="11" xfId="20" applyNumberFormat="1" applyFont="1" applyFill="1" applyBorder="1" applyAlignment="1">
      <alignment/>
    </xf>
    <xf numFmtId="166" fontId="4" fillId="0" borderId="26" xfId="27" applyFont="1" applyFill="1" applyBorder="1">
      <alignment horizontal="left"/>
      <protection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20" applyAlignment="1">
      <alignment/>
    </xf>
    <xf numFmtId="0" fontId="0" fillId="0" borderId="33" xfId="0" applyBorder="1" applyAlignment="1">
      <alignment/>
    </xf>
    <xf numFmtId="166" fontId="4" fillId="0" borderId="0" xfId="27" applyFont="1" applyFill="1" applyBorder="1">
      <alignment horizontal="left"/>
      <protection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" xfId="0" applyNumberFormat="1" applyBorder="1" applyAlignment="1">
      <alignment/>
    </xf>
    <xf numFmtId="0" fontId="4" fillId="0" borderId="39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39" xfId="0" applyFill="1" applyBorder="1" applyAlignment="1">
      <alignment/>
    </xf>
    <xf numFmtId="0" fontId="4" fillId="0" borderId="39" xfId="0" applyFont="1" applyFill="1" applyBorder="1" applyAlignment="1">
      <alignment/>
    </xf>
    <xf numFmtId="10" fontId="0" fillId="0" borderId="1" xfId="0" applyNumberFormat="1" applyBorder="1" applyAlignment="1">
      <alignment/>
    </xf>
    <xf numFmtId="10" fontId="0" fillId="0" borderId="40" xfId="0" applyNumberFormat="1" applyBorder="1" applyAlignment="1">
      <alignment/>
    </xf>
    <xf numFmtId="10" fontId="10" fillId="0" borderId="31" xfId="0" applyNumberFormat="1" applyFont="1" applyBorder="1" applyAlignment="1">
      <alignment/>
    </xf>
    <xf numFmtId="10" fontId="10" fillId="0" borderId="32" xfId="0" applyNumberFormat="1" applyFont="1" applyBorder="1" applyAlignment="1">
      <alignment/>
    </xf>
    <xf numFmtId="10" fontId="0" fillId="0" borderId="41" xfId="0" applyNumberFormat="1" applyBorder="1" applyAlignment="1">
      <alignment/>
    </xf>
    <xf numFmtId="10" fontId="10" fillId="0" borderId="10" xfId="0" applyNumberFormat="1" applyFont="1" applyBorder="1" applyAlignment="1">
      <alignment/>
    </xf>
    <xf numFmtId="10" fontId="10" fillId="0" borderId="24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42" xfId="0" applyNumberFormat="1" applyBorder="1" applyAlignment="1">
      <alignment/>
    </xf>
    <xf numFmtId="10" fontId="4" fillId="0" borderId="14" xfId="0" applyNumberFormat="1" applyFont="1" applyBorder="1" applyAlignment="1">
      <alignment/>
    </xf>
    <xf numFmtId="10" fontId="0" fillId="0" borderId="43" xfId="0" applyNumberFormat="1" applyBorder="1" applyAlignment="1">
      <alignment/>
    </xf>
    <xf numFmtId="10" fontId="0" fillId="0" borderId="44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45" xfId="0" applyNumberFormat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25" xfId="0" applyNumberFormat="1" applyFon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10" fontId="4" fillId="0" borderId="46" xfId="0" applyNumberFormat="1" applyFont="1" applyBorder="1" applyAlignment="1">
      <alignment/>
    </xf>
    <xf numFmtId="10" fontId="0" fillId="0" borderId="47" xfId="0" applyNumberFormat="1" applyBorder="1" applyAlignment="1">
      <alignment/>
    </xf>
    <xf numFmtId="10" fontId="0" fillId="0" borderId="30" xfId="0" applyNumberFormat="1" applyBorder="1" applyAlignment="1">
      <alignment/>
    </xf>
    <xf numFmtId="10" fontId="0" fillId="0" borderId="48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49" xfId="28" applyFont="1" applyFill="1" applyBorder="1">
      <alignment horizontal="left"/>
      <protection/>
    </xf>
    <xf numFmtId="166" fontId="10" fillId="0" borderId="7" xfId="28" applyFont="1" applyFill="1" applyBorder="1">
      <alignment horizontal="left"/>
      <protection/>
    </xf>
    <xf numFmtId="166" fontId="10" fillId="0" borderId="22" xfId="28" applyFont="1" applyFill="1" applyBorder="1">
      <alignment horizontal="left"/>
      <protection/>
    </xf>
    <xf numFmtId="166" fontId="0" fillId="0" borderId="26" xfId="28" applyFont="1" applyFill="1" applyBorder="1">
      <alignment horizontal="left"/>
      <protection/>
    </xf>
    <xf numFmtId="10" fontId="0" fillId="0" borderId="50" xfId="0" applyNumberFormat="1" applyBorder="1" applyAlignment="1">
      <alignment/>
    </xf>
    <xf numFmtId="10" fontId="0" fillId="0" borderId="39" xfId="0" applyNumberFormat="1" applyBorder="1" applyAlignment="1">
      <alignment/>
    </xf>
    <xf numFmtId="10" fontId="0" fillId="0" borderId="51" xfId="0" applyNumberFormat="1" applyBorder="1" applyAlignment="1">
      <alignment/>
    </xf>
    <xf numFmtId="10" fontId="10" fillId="0" borderId="52" xfId="0" applyNumberFormat="1" applyFont="1" applyBorder="1" applyAlignment="1">
      <alignment/>
    </xf>
    <xf numFmtId="10" fontId="10" fillId="0" borderId="53" xfId="0" applyNumberFormat="1" applyFont="1" applyBorder="1" applyAlignment="1">
      <alignment/>
    </xf>
    <xf numFmtId="10" fontId="0" fillId="0" borderId="42" xfId="0" applyNumberFormat="1" applyBorder="1" applyAlignment="1">
      <alignment/>
    </xf>
    <xf numFmtId="10" fontId="0" fillId="0" borderId="54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55" xfId="0" applyNumberFormat="1" applyBorder="1" applyAlignment="1">
      <alignment/>
    </xf>
    <xf numFmtId="10" fontId="10" fillId="0" borderId="9" xfId="0" applyNumberFormat="1" applyFont="1" applyBorder="1" applyAlignment="1">
      <alignment/>
    </xf>
    <xf numFmtId="10" fontId="10" fillId="0" borderId="23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10" fontId="4" fillId="0" borderId="56" xfId="0" applyNumberFormat="1" applyFon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8" fontId="0" fillId="0" borderId="30" xfId="0" applyNumberFormat="1" applyBorder="1" applyAlignment="1">
      <alignment/>
    </xf>
    <xf numFmtId="168" fontId="0" fillId="0" borderId="4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68" fontId="0" fillId="0" borderId="39" xfId="0" applyNumberFormat="1" applyBorder="1" applyAlignment="1">
      <alignment/>
    </xf>
    <xf numFmtId="168" fontId="0" fillId="0" borderId="42" xfId="0" applyNumberFormat="1" applyBorder="1" applyAlignment="1">
      <alignment/>
    </xf>
    <xf numFmtId="168" fontId="0" fillId="0" borderId="3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7" fontId="5" fillId="0" borderId="10" xfId="26" applyFont="1" applyFill="1" applyBorder="1">
      <alignment/>
      <protection locked="0"/>
    </xf>
    <xf numFmtId="169" fontId="0" fillId="0" borderId="0" xfId="20" applyNumberForma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9" fontId="4" fillId="0" borderId="0" xfId="20" applyNumberFormat="1" applyFont="1" applyBorder="1" applyAlignment="1">
      <alignment/>
    </xf>
    <xf numFmtId="0" fontId="4" fillId="0" borderId="5" xfId="0" applyFont="1" applyBorder="1" applyAlignment="1">
      <alignment/>
    </xf>
    <xf numFmtId="169" fontId="4" fillId="0" borderId="30" xfId="20" applyNumberFormat="1" applyFont="1" applyBorder="1" applyAlignment="1">
      <alignment/>
    </xf>
    <xf numFmtId="169" fontId="0" fillId="0" borderId="31" xfId="20" applyNumberFormat="1" applyBorder="1" applyAlignment="1">
      <alignment/>
    </xf>
    <xf numFmtId="169" fontId="0" fillId="0" borderId="32" xfId="20" applyNumberFormat="1" applyBorder="1" applyAlignment="1">
      <alignment/>
    </xf>
    <xf numFmtId="169" fontId="0" fillId="0" borderId="1" xfId="20" applyNumberFormat="1" applyBorder="1" applyAlignment="1">
      <alignment/>
    </xf>
    <xf numFmtId="0" fontId="4" fillId="0" borderId="1" xfId="0" applyFont="1" applyBorder="1" applyAlignment="1">
      <alignment/>
    </xf>
    <xf numFmtId="169" fontId="4" fillId="0" borderId="1" xfId="20" applyNumberFormat="1" applyFont="1" applyBorder="1" applyAlignment="1">
      <alignment/>
    </xf>
    <xf numFmtId="169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166" fontId="0" fillId="0" borderId="57" xfId="28" applyFont="1" applyFill="1" applyBorder="1">
      <alignment horizontal="left"/>
      <protection/>
    </xf>
    <xf numFmtId="167" fontId="5" fillId="0" borderId="33" xfId="26" applyFont="1" applyFill="1" applyBorder="1">
      <alignment/>
      <protection locked="0"/>
    </xf>
    <xf numFmtId="167" fontId="5" fillId="0" borderId="7" xfId="26" applyFont="1" applyFill="1" applyBorder="1">
      <alignment/>
      <protection locked="0"/>
    </xf>
    <xf numFmtId="167" fontId="5" fillId="0" borderId="9" xfId="26" applyFont="1" applyFill="1" applyBorder="1">
      <alignment/>
      <protection locked="0"/>
    </xf>
    <xf numFmtId="166" fontId="12" fillId="0" borderId="12" xfId="28" applyFont="1" applyFill="1" applyBorder="1">
      <alignment horizontal="left"/>
      <protection/>
    </xf>
    <xf numFmtId="166" fontId="12" fillId="0" borderId="12" xfId="27" applyFont="1" applyFill="1" applyBorder="1">
      <alignment horizontal="left"/>
      <protection/>
    </xf>
    <xf numFmtId="166" fontId="4" fillId="0" borderId="22" xfId="28" applyFont="1" applyFill="1" applyBorder="1">
      <alignment horizontal="left"/>
      <protection/>
    </xf>
    <xf numFmtId="0" fontId="0" fillId="0" borderId="7" xfId="0" applyBorder="1" applyAlignment="1">
      <alignment/>
    </xf>
    <xf numFmtId="169" fontId="0" fillId="0" borderId="33" xfId="20" applyNumberFormat="1" applyBorder="1" applyAlignment="1">
      <alignment/>
    </xf>
    <xf numFmtId="169" fontId="0" fillId="0" borderId="36" xfId="20" applyNumberFormat="1" applyBorder="1" applyAlignment="1">
      <alignment/>
    </xf>
    <xf numFmtId="169" fontId="0" fillId="0" borderId="35" xfId="20" applyNumberFormat="1" applyBorder="1" applyAlignment="1">
      <alignment/>
    </xf>
    <xf numFmtId="0" fontId="0" fillId="0" borderId="58" xfId="0" applyBorder="1" applyAlignment="1">
      <alignment/>
    </xf>
    <xf numFmtId="169" fontId="0" fillId="0" borderId="59" xfId="20" applyNumberFormat="1" applyBorder="1" applyAlignment="1">
      <alignment/>
    </xf>
    <xf numFmtId="169" fontId="0" fillId="0" borderId="10" xfId="20" applyNumberFormat="1" applyBorder="1" applyAlignment="1">
      <alignment/>
    </xf>
    <xf numFmtId="169" fontId="0" fillId="0" borderId="17" xfId="20" applyNumberFormat="1" applyBorder="1" applyAlignment="1">
      <alignment/>
    </xf>
    <xf numFmtId="169" fontId="0" fillId="0" borderId="24" xfId="20" applyNumberFormat="1" applyBorder="1" applyAlignment="1">
      <alignment/>
    </xf>
    <xf numFmtId="169" fontId="0" fillId="0" borderId="60" xfId="20" applyNumberFormat="1" applyBorder="1" applyAlignment="1">
      <alignment/>
    </xf>
    <xf numFmtId="169" fontId="0" fillId="0" borderId="61" xfId="20" applyNumberFormat="1" applyBorder="1" applyAlignment="1">
      <alignment/>
    </xf>
    <xf numFmtId="169" fontId="0" fillId="0" borderId="62" xfId="20" applyNumberFormat="1" applyBorder="1" applyAlignment="1">
      <alignment/>
    </xf>
    <xf numFmtId="169" fontId="0" fillId="0" borderId="58" xfId="20" applyNumberFormat="1" applyBorder="1" applyAlignment="1">
      <alignment/>
    </xf>
    <xf numFmtId="169" fontId="0" fillId="0" borderId="22" xfId="20" applyNumberFormat="1" applyBorder="1" applyAlignment="1">
      <alignment/>
    </xf>
    <xf numFmtId="169" fontId="0" fillId="0" borderId="7" xfId="20" applyNumberFormat="1" applyBorder="1" applyAlignment="1">
      <alignment/>
    </xf>
    <xf numFmtId="169" fontId="0" fillId="0" borderId="8" xfId="20" applyNumberFormat="1" applyBorder="1" applyAlignment="1">
      <alignment/>
    </xf>
    <xf numFmtId="0" fontId="0" fillId="0" borderId="0" xfId="0" applyBorder="1" applyAlignment="1">
      <alignment horizontal="center"/>
    </xf>
    <xf numFmtId="164" fontId="4" fillId="0" borderId="57" xfId="24" applyFont="1" applyFill="1" applyBorder="1">
      <alignment horizontal="left"/>
      <protection/>
    </xf>
    <xf numFmtId="164" fontId="4" fillId="0" borderId="57" xfId="25" applyFont="1" applyFill="1" applyBorder="1">
      <alignment horizontal="left"/>
      <protection/>
    </xf>
    <xf numFmtId="164" fontId="0" fillId="0" borderId="57" xfId="25" applyFont="1" applyFill="1" applyBorder="1">
      <alignment horizontal="left"/>
      <protection/>
    </xf>
    <xf numFmtId="164" fontId="4" fillId="0" borderId="63" xfId="24" applyFont="1" applyFill="1" applyBorder="1">
      <alignment horizontal="left"/>
      <protection/>
    </xf>
    <xf numFmtId="164" fontId="4" fillId="0" borderId="64" xfId="24" applyFont="1" applyFill="1" applyBorder="1">
      <alignment horizontal="left"/>
      <protection/>
    </xf>
    <xf numFmtId="166" fontId="4" fillId="0" borderId="33" xfId="27" applyFont="1" applyFill="1" applyBorder="1">
      <alignment horizontal="left"/>
      <protection/>
    </xf>
    <xf numFmtId="166" fontId="4" fillId="0" borderId="33" xfId="28" applyFont="1" applyFill="1" applyBorder="1">
      <alignment horizontal="left"/>
      <protection/>
    </xf>
    <xf numFmtId="166" fontId="0" fillId="0" borderId="33" xfId="28" applyFont="1" applyFill="1" applyBorder="1">
      <alignment horizontal="left"/>
      <protection/>
    </xf>
    <xf numFmtId="166" fontId="4" fillId="0" borderId="65" xfId="27" applyFont="1" applyFill="1" applyBorder="1">
      <alignment horizontal="left"/>
      <protection/>
    </xf>
    <xf numFmtId="164" fontId="0" fillId="0" borderId="63" xfId="25" applyFont="1" applyFill="1" applyBorder="1">
      <alignment horizontal="left"/>
      <protection/>
    </xf>
    <xf numFmtId="166" fontId="0" fillId="0" borderId="36" xfId="28" applyFont="1" applyFill="1" applyBorder="1">
      <alignment horizontal="left"/>
      <protection/>
    </xf>
    <xf numFmtId="164" fontId="4" fillId="0" borderId="63" xfId="25" applyFont="1" applyFill="1" applyBorder="1">
      <alignment horizontal="left"/>
      <protection/>
    </xf>
    <xf numFmtId="166" fontId="4" fillId="0" borderId="36" xfId="28" applyFont="1" applyFill="1" applyBorder="1">
      <alignment horizontal="left"/>
      <protection/>
    </xf>
    <xf numFmtId="164" fontId="4" fillId="0" borderId="66" xfId="25" applyFont="1" applyFill="1" applyBorder="1">
      <alignment horizontal="left"/>
      <protection/>
    </xf>
    <xf numFmtId="166" fontId="4" fillId="0" borderId="67" xfId="28" applyFont="1" applyFill="1" applyBorder="1">
      <alignment horizontal="left"/>
      <protection/>
    </xf>
    <xf numFmtId="164" fontId="0" fillId="0" borderId="68" xfId="25" applyFont="1" applyFill="1" applyBorder="1">
      <alignment horizontal="left"/>
      <protection/>
    </xf>
    <xf numFmtId="166" fontId="0" fillId="0" borderId="60" xfId="28" applyFont="1" applyFill="1" applyBorder="1">
      <alignment horizontal="left"/>
      <protection/>
    </xf>
    <xf numFmtId="164" fontId="4" fillId="0" borderId="68" xfId="25" applyFont="1" applyFill="1" applyBorder="1">
      <alignment horizontal="left"/>
      <protection/>
    </xf>
    <xf numFmtId="166" fontId="4" fillId="0" borderId="60" xfId="28" applyFont="1" applyFill="1" applyBorder="1">
      <alignment horizontal="left"/>
      <protection/>
    </xf>
    <xf numFmtId="164" fontId="4" fillId="0" borderId="3" xfId="24" applyFont="1" applyFill="1" applyBorder="1">
      <alignment horizontal="left"/>
      <protection/>
    </xf>
    <xf numFmtId="166" fontId="4" fillId="0" borderId="36" xfId="27" applyFont="1" applyFill="1" applyBorder="1">
      <alignment horizontal="left"/>
      <protection/>
    </xf>
    <xf numFmtId="164" fontId="4" fillId="0" borderId="69" xfId="24" applyFont="1" applyFill="1" applyBorder="1">
      <alignment horizontal="left"/>
      <protection/>
    </xf>
    <xf numFmtId="164" fontId="4" fillId="0" borderId="70" xfId="24" applyFont="1" applyFill="1" applyBorder="1">
      <alignment horizontal="left"/>
      <protection/>
    </xf>
    <xf numFmtId="166" fontId="4" fillId="0" borderId="71" xfId="27" applyFont="1" applyFill="1" applyBorder="1">
      <alignment horizontal="left"/>
      <protection/>
    </xf>
    <xf numFmtId="164" fontId="0" fillId="0" borderId="66" xfId="25" applyFont="1" applyFill="1" applyBorder="1">
      <alignment horizontal="left"/>
      <protection/>
    </xf>
    <xf numFmtId="166" fontId="0" fillId="0" borderId="67" xfId="28" applyFont="1" applyFill="1" applyBorder="1">
      <alignment horizontal="left"/>
      <protection/>
    </xf>
    <xf numFmtId="0" fontId="4" fillId="0" borderId="0" xfId="0" applyFont="1" applyAlignment="1">
      <alignment horizontal="left" vertical="top" wrapText="1"/>
    </xf>
    <xf numFmtId="3" fontId="0" fillId="0" borderId="33" xfId="0" applyNumberFormat="1" applyBorder="1" applyAlignment="1">
      <alignment/>
    </xf>
    <xf numFmtId="3" fontId="4" fillId="0" borderId="65" xfId="0" applyNumberFormat="1" applyFont="1" applyBorder="1" applyAlignment="1">
      <alignment/>
    </xf>
    <xf numFmtId="14" fontId="0" fillId="0" borderId="9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14" fontId="0" fillId="0" borderId="23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63" xfId="0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6" xfId="0" applyBorder="1" applyAlignment="1">
      <alignment/>
    </xf>
    <xf numFmtId="3" fontId="0" fillId="0" borderId="44" xfId="0" applyNumberFormat="1" applyBorder="1" applyAlignment="1">
      <alignment/>
    </xf>
    <xf numFmtId="0" fontId="4" fillId="0" borderId="0" xfId="0" applyFont="1" applyAlignment="1">
      <alignment vertical="top"/>
    </xf>
    <xf numFmtId="3" fontId="2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57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4" fillId="0" borderId="63" xfId="0" applyFont="1" applyBorder="1" applyAlignment="1">
      <alignment/>
    </xf>
    <xf numFmtId="0" fontId="4" fillId="0" borderId="57" xfId="0" applyFont="1" applyBorder="1" applyAlignment="1">
      <alignment/>
    </xf>
    <xf numFmtId="3" fontId="4" fillId="0" borderId="33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8" xfId="0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3" fontId="0" fillId="0" borderId="58" xfId="0" applyNumberForma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36" xfId="0" applyFont="1" applyBorder="1" applyAlignment="1">
      <alignment/>
    </xf>
    <xf numFmtId="10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0" fontId="0" fillId="0" borderId="19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26" fillId="0" borderId="38" xfId="0" applyFont="1" applyBorder="1" applyAlignment="1">
      <alignment/>
    </xf>
    <xf numFmtId="0" fontId="26" fillId="0" borderId="54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9" xfId="0" applyFont="1" applyBorder="1" applyAlignment="1">
      <alignment/>
    </xf>
    <xf numFmtId="10" fontId="25" fillId="0" borderId="0" xfId="20" applyNumberFormat="1" applyAlignment="1">
      <alignment/>
    </xf>
    <xf numFmtId="0" fontId="25" fillId="0" borderId="57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23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13" xfId="0" applyFont="1" applyBorder="1" applyAlignment="1">
      <alignment/>
    </xf>
    <xf numFmtId="173" fontId="0" fillId="0" borderId="54" xfId="20" applyNumberFormat="1" applyBorder="1" applyAlignment="1">
      <alignment horizontal="center"/>
    </xf>
    <xf numFmtId="173" fontId="0" fillId="0" borderId="43" xfId="0" applyNumberFormat="1" applyBorder="1" applyAlignment="1">
      <alignment horizontal="center"/>
    </xf>
    <xf numFmtId="175" fontId="0" fillId="0" borderId="44" xfId="20" applyNumberFormat="1" applyBorder="1" applyAlignment="1">
      <alignment horizontal="center"/>
    </xf>
    <xf numFmtId="0" fontId="0" fillId="0" borderId="66" xfId="0" applyBorder="1" applyAlignment="1">
      <alignment/>
    </xf>
    <xf numFmtId="173" fontId="0" fillId="0" borderId="37" xfId="2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5" fontId="0" fillId="0" borderId="21" xfId="20" applyNumberFormat="1" applyBorder="1" applyAlignment="1">
      <alignment horizontal="center"/>
    </xf>
    <xf numFmtId="0" fontId="0" fillId="0" borderId="69" xfId="0" applyBorder="1" applyAlignment="1">
      <alignment/>
    </xf>
    <xf numFmtId="173" fontId="0" fillId="0" borderId="27" xfId="2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5" fontId="0" fillId="0" borderId="29" xfId="20" applyNumberFormat="1" applyBorder="1" applyAlignment="1">
      <alignment horizontal="center"/>
    </xf>
    <xf numFmtId="175" fontId="25" fillId="0" borderId="43" xfId="2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5" fontId="25" fillId="0" borderId="44" xfId="20" applyNumberFormat="1" applyBorder="1" applyAlignment="1">
      <alignment horizontal="center"/>
    </xf>
    <xf numFmtId="175" fontId="25" fillId="0" borderId="1" xfId="20" applyNumberFormat="1" applyBorder="1" applyAlignment="1">
      <alignment horizontal="center"/>
    </xf>
    <xf numFmtId="175" fontId="25" fillId="0" borderId="21" xfId="20" applyNumberFormat="1" applyBorder="1" applyAlignment="1">
      <alignment horizontal="center"/>
    </xf>
    <xf numFmtId="175" fontId="25" fillId="0" borderId="28" xfId="2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75" fontId="25" fillId="0" borderId="29" xfId="20" applyNumberForma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 horizontal="center"/>
    </xf>
    <xf numFmtId="175" fontId="26" fillId="0" borderId="15" xfId="2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7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10" fontId="26" fillId="0" borderId="0" xfId="2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30" fillId="0" borderId="41" xfId="0" applyFont="1" applyBorder="1" applyAlignment="1">
      <alignment/>
    </xf>
    <xf numFmtId="10" fontId="30" fillId="0" borderId="74" xfId="0" applyNumberFormat="1" applyFont="1" applyBorder="1" applyAlignment="1">
      <alignment/>
    </xf>
    <xf numFmtId="0" fontId="0" fillId="0" borderId="40" xfId="0" applyBorder="1" applyAlignment="1">
      <alignment/>
    </xf>
    <xf numFmtId="0" fontId="30" fillId="0" borderId="10" xfId="0" applyFont="1" applyBorder="1" applyAlignment="1">
      <alignment/>
    </xf>
    <xf numFmtId="10" fontId="30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169" fontId="5" fillId="0" borderId="0" xfId="2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62" xfId="0" applyBorder="1" applyAlignment="1">
      <alignment/>
    </xf>
    <xf numFmtId="169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75" xfId="0" applyNumberFormat="1" applyBorder="1" applyAlignment="1">
      <alignment/>
    </xf>
    <xf numFmtId="166" fontId="4" fillId="0" borderId="19" xfId="28" applyFont="1" applyFill="1" applyBorder="1">
      <alignment horizontal="left"/>
      <protection/>
    </xf>
    <xf numFmtId="169" fontId="0" fillId="0" borderId="0" xfId="20" applyNumberFormat="1" applyFill="1" applyBorder="1" applyAlignment="1">
      <alignment/>
    </xf>
    <xf numFmtId="10" fontId="0" fillId="0" borderId="0" xfId="20" applyNumberFormat="1" applyBorder="1" applyAlignment="1">
      <alignment/>
    </xf>
    <xf numFmtId="169" fontId="4" fillId="0" borderId="0" xfId="0" applyNumberFormat="1" applyFont="1" applyFill="1" applyBorder="1" applyAlignment="1">
      <alignment/>
    </xf>
    <xf numFmtId="166" fontId="34" fillId="0" borderId="7" xfId="28" applyFont="1" applyFill="1" applyBorder="1">
      <alignment horizontal="left"/>
      <protection/>
    </xf>
    <xf numFmtId="166" fontId="34" fillId="0" borderId="8" xfId="28" applyFont="1" applyFill="1" applyBorder="1">
      <alignment horizontal="left"/>
      <protection/>
    </xf>
    <xf numFmtId="0" fontId="35" fillId="0" borderId="0" xfId="0" applyFont="1" applyFill="1" applyBorder="1" applyAlignment="1">
      <alignment/>
    </xf>
    <xf numFmtId="1" fontId="4" fillId="0" borderId="7" xfId="32" applyFont="1" applyFill="1" applyBorder="1">
      <alignment horizontal="left"/>
      <protection/>
    </xf>
    <xf numFmtId="166" fontId="4" fillId="0" borderId="34" xfId="27" applyFont="1" applyFill="1" applyBorder="1">
      <alignment horizontal="left"/>
      <protection/>
    </xf>
    <xf numFmtId="167" fontId="4" fillId="0" borderId="34" xfId="29" applyFont="1" applyFill="1" applyBorder="1">
      <alignment/>
      <protection/>
    </xf>
    <xf numFmtId="0" fontId="35" fillId="0" borderId="3" xfId="0" applyFont="1" applyFill="1" applyBorder="1" applyAlignment="1">
      <alignment/>
    </xf>
    <xf numFmtId="167" fontId="4" fillId="0" borderId="3" xfId="29" applyFont="1" applyFill="1" applyBorder="1">
      <alignment/>
      <protection/>
    </xf>
    <xf numFmtId="2" fontId="0" fillId="0" borderId="5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166" fontId="12" fillId="0" borderId="34" xfId="28" applyFont="1" applyFill="1" applyBorder="1">
      <alignment horizontal="left"/>
      <protection/>
    </xf>
    <xf numFmtId="166" fontId="33" fillId="0" borderId="7" xfId="27" applyFont="1" applyFill="1" applyBorder="1">
      <alignment horizontal="left"/>
      <protection/>
    </xf>
    <xf numFmtId="166" fontId="33" fillId="0" borderId="58" xfId="27" applyFont="1" applyFill="1" applyBorder="1">
      <alignment horizontal="left"/>
      <protection/>
    </xf>
    <xf numFmtId="1" fontId="0" fillId="0" borderId="7" xfId="32" applyFont="1" applyFill="1" applyBorder="1">
      <alignment horizontal="left"/>
      <protection/>
    </xf>
    <xf numFmtId="183" fontId="0" fillId="0" borderId="7" xfId="31" applyNumberFormat="1" applyFont="1" applyFill="1" applyBorder="1">
      <alignment/>
      <protection/>
    </xf>
    <xf numFmtId="183" fontId="0" fillId="0" borderId="9" xfId="31" applyNumberFormat="1" applyFont="1" applyFill="1" applyBorder="1">
      <alignment/>
      <protection/>
    </xf>
    <xf numFmtId="183" fontId="0" fillId="0" borderId="31" xfId="31" applyNumberFormat="1" applyFont="1" applyFill="1" applyBorder="1">
      <alignment/>
      <protection/>
    </xf>
    <xf numFmtId="183" fontId="0" fillId="0" borderId="10" xfId="31" applyNumberFormat="1" applyFont="1" applyFill="1" applyBorder="1">
      <alignment/>
      <protection/>
    </xf>
    <xf numFmtId="183" fontId="0" fillId="0" borderId="33" xfId="31" applyNumberFormat="1" applyFont="1" applyFill="1" applyBorder="1">
      <alignment/>
      <protection/>
    </xf>
    <xf numFmtId="183" fontId="4" fillId="6" borderId="7" xfId="30" applyNumberFormat="1" applyFont="1" applyBorder="1">
      <alignment/>
      <protection/>
    </xf>
    <xf numFmtId="183" fontId="4" fillId="6" borderId="9" xfId="30" applyNumberFormat="1" applyFont="1" applyBorder="1">
      <alignment/>
      <protection/>
    </xf>
    <xf numFmtId="183" fontId="4" fillId="6" borderId="31" xfId="30" applyNumberFormat="1" applyFont="1" applyBorder="1">
      <alignment/>
      <protection/>
    </xf>
    <xf numFmtId="183" fontId="4" fillId="6" borderId="10" xfId="30" applyNumberFormat="1" applyFont="1" applyBorder="1">
      <alignment/>
      <protection/>
    </xf>
    <xf numFmtId="183" fontId="4" fillId="6" borderId="33" xfId="30" applyNumberFormat="1" applyFont="1" applyBorder="1">
      <alignment/>
      <protection/>
    </xf>
    <xf numFmtId="183" fontId="0" fillId="6" borderId="7" xfId="30" applyNumberFormat="1" applyFont="1" applyBorder="1">
      <alignment/>
      <protection/>
    </xf>
    <xf numFmtId="183" fontId="0" fillId="6" borderId="9" xfId="30" applyNumberFormat="1" applyFont="1" applyBorder="1">
      <alignment/>
      <protection/>
    </xf>
    <xf numFmtId="183" fontId="0" fillId="6" borderId="31" xfId="30" applyNumberFormat="1" applyFont="1" applyBorder="1">
      <alignment/>
      <protection/>
    </xf>
    <xf numFmtId="183" fontId="0" fillId="6" borderId="10" xfId="30" applyNumberFormat="1" applyFont="1" applyBorder="1">
      <alignment/>
      <protection/>
    </xf>
    <xf numFmtId="183" fontId="0" fillId="6" borderId="33" xfId="30" applyNumberFormat="1" applyFont="1" applyBorder="1">
      <alignment/>
      <protection/>
    </xf>
    <xf numFmtId="183" fontId="4" fillId="6" borderId="22" xfId="30" applyNumberFormat="1" applyFont="1" applyBorder="1">
      <alignment/>
      <protection/>
    </xf>
    <xf numFmtId="183" fontId="4" fillId="6" borderId="23" xfId="30" applyNumberFormat="1" applyFont="1" applyBorder="1">
      <alignment/>
      <protection/>
    </xf>
    <xf numFmtId="183" fontId="4" fillId="6" borderId="32" xfId="30" applyNumberFormat="1" applyFont="1" applyBorder="1">
      <alignment/>
      <protection/>
    </xf>
    <xf numFmtId="183" fontId="4" fillId="6" borderId="24" xfId="30" applyNumberFormat="1" applyFont="1" applyBorder="1">
      <alignment/>
      <protection/>
    </xf>
    <xf numFmtId="183" fontId="4" fillId="6" borderId="60" xfId="30" applyNumberFormat="1" applyFont="1" applyBorder="1">
      <alignment/>
      <protection/>
    </xf>
    <xf numFmtId="183" fontId="0" fillId="6" borderId="22" xfId="30" applyNumberFormat="1" applyFont="1" applyBorder="1">
      <alignment/>
      <protection/>
    </xf>
    <xf numFmtId="183" fontId="0" fillId="6" borderId="23" xfId="30" applyNumberFormat="1" applyFont="1" applyBorder="1">
      <alignment/>
      <protection/>
    </xf>
    <xf numFmtId="183" fontId="0" fillId="6" borderId="32" xfId="30" applyNumberFormat="1" applyFont="1" applyBorder="1">
      <alignment/>
      <protection/>
    </xf>
    <xf numFmtId="183" fontId="0" fillId="6" borderId="24" xfId="30" applyNumberFormat="1" applyFont="1" applyBorder="1">
      <alignment/>
      <protection/>
    </xf>
    <xf numFmtId="183" fontId="0" fillId="6" borderId="60" xfId="30" applyNumberFormat="1" applyFont="1" applyBorder="1">
      <alignment/>
      <protection/>
    </xf>
    <xf numFmtId="183" fontId="4" fillId="6" borderId="26" xfId="30" applyNumberFormat="1" applyFont="1" applyBorder="1">
      <alignment/>
      <protection/>
    </xf>
    <xf numFmtId="183" fontId="4" fillId="6" borderId="27" xfId="30" applyNumberFormat="1" applyFont="1" applyBorder="1">
      <alignment/>
      <protection/>
    </xf>
    <xf numFmtId="183" fontId="4" fillId="6" borderId="48" xfId="30" applyNumberFormat="1" applyFont="1" applyBorder="1">
      <alignment/>
      <protection/>
    </xf>
    <xf numFmtId="183" fontId="4" fillId="6" borderId="28" xfId="30" applyNumberFormat="1" applyFont="1" applyBorder="1">
      <alignment/>
      <protection/>
    </xf>
    <xf numFmtId="183" fontId="4" fillId="6" borderId="71" xfId="30" applyNumberFormat="1" applyFont="1" applyBorder="1">
      <alignment/>
      <protection/>
    </xf>
    <xf numFmtId="183" fontId="0" fillId="0" borderId="58" xfId="31" applyNumberFormat="1" applyFont="1" applyFill="1" applyBorder="1">
      <alignment/>
      <protection/>
    </xf>
    <xf numFmtId="183" fontId="0" fillId="0" borderId="76" xfId="31" applyNumberFormat="1" applyFont="1" applyFill="1" applyBorder="1">
      <alignment/>
      <protection/>
    </xf>
    <xf numFmtId="183" fontId="0" fillId="0" borderId="61" xfId="31" applyNumberFormat="1" applyFont="1" applyFill="1" applyBorder="1">
      <alignment/>
      <protection/>
    </xf>
    <xf numFmtId="183" fontId="0" fillId="0" borderId="59" xfId="31" applyNumberFormat="1" applyFont="1" applyFill="1" applyBorder="1">
      <alignment/>
      <protection/>
    </xf>
    <xf numFmtId="183" fontId="0" fillId="0" borderId="35" xfId="31" applyNumberFormat="1" applyFont="1" applyFill="1" applyBorder="1">
      <alignment/>
      <protection/>
    </xf>
    <xf numFmtId="183" fontId="4" fillId="6" borderId="8" xfId="30" applyNumberFormat="1" applyFont="1" applyBorder="1">
      <alignment/>
      <protection/>
    </xf>
    <xf numFmtId="183" fontId="4" fillId="6" borderId="16" xfId="30" applyNumberFormat="1" applyFont="1" applyBorder="1">
      <alignment/>
      <protection/>
    </xf>
    <xf numFmtId="183" fontId="4" fillId="6" borderId="17" xfId="30" applyNumberFormat="1" applyFont="1" applyBorder="1">
      <alignment/>
      <protection/>
    </xf>
    <xf numFmtId="183" fontId="4" fillId="6" borderId="36" xfId="30" applyNumberFormat="1" applyFont="1" applyBorder="1">
      <alignment/>
      <protection/>
    </xf>
    <xf numFmtId="183" fontId="5" fillId="0" borderId="7" xfId="26" applyNumberFormat="1" applyFont="1" applyFill="1" applyBorder="1">
      <alignment/>
      <protection locked="0"/>
    </xf>
    <xf numFmtId="183" fontId="5" fillId="0" borderId="9" xfId="26" applyNumberFormat="1" applyFont="1" applyFill="1" applyBorder="1">
      <alignment/>
      <protection locked="0"/>
    </xf>
    <xf numFmtId="183" fontId="5" fillId="0" borderId="10" xfId="26" applyNumberFormat="1" applyFont="1" applyFill="1" applyBorder="1">
      <alignment/>
      <protection locked="0"/>
    </xf>
    <xf numFmtId="183" fontId="5" fillId="0" borderId="33" xfId="26" applyNumberFormat="1" applyFont="1" applyFill="1" applyBorder="1">
      <alignment/>
      <protection locked="0"/>
    </xf>
    <xf numFmtId="183" fontId="4" fillId="0" borderId="26" xfId="29" applyNumberFormat="1" applyFont="1" applyFill="1" applyBorder="1">
      <alignment/>
      <protection/>
    </xf>
    <xf numFmtId="183" fontId="4" fillId="0" borderId="27" xfId="29" applyNumberFormat="1" applyFont="1" applyFill="1" applyBorder="1">
      <alignment/>
      <protection/>
    </xf>
    <xf numFmtId="183" fontId="4" fillId="0" borderId="28" xfId="29" applyNumberFormat="1" applyFont="1" applyFill="1" applyBorder="1">
      <alignment/>
      <protection/>
    </xf>
    <xf numFmtId="183" fontId="4" fillId="0" borderId="71" xfId="29" applyNumberFormat="1" applyFont="1" applyFill="1" applyBorder="1">
      <alignment/>
      <protection/>
    </xf>
    <xf numFmtId="183" fontId="5" fillId="0" borderId="22" xfId="26" applyNumberFormat="1" applyFont="1" applyFill="1" applyBorder="1">
      <alignment/>
      <protection locked="0"/>
    </xf>
    <xf numFmtId="183" fontId="5" fillId="0" borderId="23" xfId="26" applyNumberFormat="1" applyFont="1" applyFill="1" applyBorder="1">
      <alignment/>
      <protection locked="0"/>
    </xf>
    <xf numFmtId="183" fontId="5" fillId="0" borderId="24" xfId="26" applyNumberFormat="1" applyFont="1" applyFill="1" applyBorder="1">
      <alignment/>
      <protection locked="0"/>
    </xf>
    <xf numFmtId="183" fontId="5" fillId="0" borderId="60" xfId="26" applyNumberFormat="1" applyFont="1" applyFill="1" applyBorder="1">
      <alignment/>
      <protection locked="0"/>
    </xf>
    <xf numFmtId="183" fontId="4" fillId="0" borderId="13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/>
    </xf>
    <xf numFmtId="183" fontId="4" fillId="0" borderId="65" xfId="0" applyNumberFormat="1" applyFont="1" applyFill="1" applyBorder="1" applyAlignment="1">
      <alignment/>
    </xf>
    <xf numFmtId="183" fontId="4" fillId="0" borderId="7" xfId="29" applyNumberFormat="1" applyFont="1" applyFill="1" applyBorder="1">
      <alignment/>
      <protection/>
    </xf>
    <xf numFmtId="183" fontId="4" fillId="0" borderId="9" xfId="29" applyNumberFormat="1" applyFont="1" applyFill="1" applyBorder="1">
      <alignment/>
      <protection/>
    </xf>
    <xf numFmtId="183" fontId="4" fillId="0" borderId="10" xfId="29" applyNumberFormat="1" applyFont="1" applyFill="1" applyBorder="1">
      <alignment/>
      <protection/>
    </xf>
    <xf numFmtId="183" fontId="4" fillId="0" borderId="33" xfId="29" applyNumberFormat="1" applyFont="1" applyFill="1" applyBorder="1">
      <alignment/>
      <protection/>
    </xf>
    <xf numFmtId="183" fontId="4" fillId="0" borderId="12" xfId="29" applyNumberFormat="1" applyFont="1" applyFill="1" applyBorder="1">
      <alignment/>
      <protection/>
    </xf>
    <xf numFmtId="183" fontId="0" fillId="0" borderId="0" xfId="0" applyNumberFormat="1" applyFill="1" applyBorder="1" applyAlignment="1">
      <alignment/>
    </xf>
    <xf numFmtId="183" fontId="12" fillId="6" borderId="12" xfId="30" applyNumberFormat="1" applyFont="1" applyBorder="1">
      <alignment/>
      <protection/>
    </xf>
    <xf numFmtId="183" fontId="12" fillId="6" borderId="13" xfId="30" applyNumberFormat="1" applyFont="1" applyBorder="1">
      <alignment/>
      <protection/>
    </xf>
    <xf numFmtId="183" fontId="12" fillId="6" borderId="46" xfId="30" applyNumberFormat="1" applyFont="1" applyBorder="1">
      <alignment/>
      <protection/>
    </xf>
    <xf numFmtId="183" fontId="12" fillId="6" borderId="14" xfId="30" applyNumberFormat="1" applyFont="1" applyBorder="1">
      <alignment/>
      <protection/>
    </xf>
    <xf numFmtId="183" fontId="12" fillId="6" borderId="65" xfId="30" applyNumberFormat="1" applyFont="1" applyBorder="1">
      <alignment/>
      <protection/>
    </xf>
    <xf numFmtId="183" fontId="12" fillId="6" borderId="34" xfId="30" applyNumberFormat="1" applyFont="1" applyBorder="1">
      <alignment/>
      <protection/>
    </xf>
    <xf numFmtId="183" fontId="12" fillId="6" borderId="3" xfId="30" applyNumberFormat="1" applyFont="1" applyBorder="1">
      <alignment/>
      <protection/>
    </xf>
    <xf numFmtId="183" fontId="0" fillId="6" borderId="0" xfId="30" applyNumberFormat="1" applyFont="1" applyBorder="1">
      <alignment/>
      <protection/>
    </xf>
    <xf numFmtId="183" fontId="5" fillId="0" borderId="31" xfId="26" applyNumberFormat="1" applyFont="1" applyFill="1" applyBorder="1">
      <alignment/>
      <protection locked="0"/>
    </xf>
    <xf numFmtId="183" fontId="0" fillId="6" borderId="16" xfId="30" applyNumberFormat="1" applyFont="1" applyBorder="1">
      <alignment/>
      <protection/>
    </xf>
    <xf numFmtId="183" fontId="12" fillId="6" borderId="73" xfId="30" applyNumberFormat="1" applyFont="1" applyBorder="1">
      <alignment/>
      <protection/>
    </xf>
    <xf numFmtId="183" fontId="4" fillId="5" borderId="12" xfId="29" applyNumberFormat="1" applyFont="1" applyBorder="1">
      <alignment/>
      <protection/>
    </xf>
    <xf numFmtId="183" fontId="4" fillId="5" borderId="13" xfId="29" applyNumberFormat="1" applyFont="1" applyBorder="1">
      <alignment/>
      <protection/>
    </xf>
    <xf numFmtId="183" fontId="4" fillId="5" borderId="14" xfId="29" applyNumberFormat="1" applyFont="1" applyBorder="1">
      <alignment/>
      <protection/>
    </xf>
    <xf numFmtId="183" fontId="4" fillId="5" borderId="65" xfId="29" applyNumberFormat="1" applyFont="1" applyBorder="1">
      <alignment/>
      <protection/>
    </xf>
    <xf numFmtId="183" fontId="4" fillId="5" borderId="7" xfId="29" applyNumberFormat="1" applyFont="1" applyBorder="1">
      <alignment/>
      <protection/>
    </xf>
    <xf numFmtId="183" fontId="4" fillId="5" borderId="9" xfId="29" applyNumberFormat="1" applyFont="1" applyBorder="1">
      <alignment/>
      <protection/>
    </xf>
    <xf numFmtId="183" fontId="4" fillId="5" borderId="10" xfId="29" applyNumberFormat="1" applyFont="1" applyBorder="1">
      <alignment/>
      <protection/>
    </xf>
    <xf numFmtId="183" fontId="4" fillId="5" borderId="33" xfId="29" applyNumberFormat="1" applyFont="1" applyBorder="1">
      <alignment/>
      <protection/>
    </xf>
    <xf numFmtId="183" fontId="4" fillId="5" borderId="20" xfId="29" applyNumberFormat="1" applyFont="1" applyBorder="1">
      <alignment/>
      <protection/>
    </xf>
    <xf numFmtId="183" fontId="4" fillId="5" borderId="37" xfId="29" applyNumberFormat="1" applyFont="1" applyBorder="1">
      <alignment/>
      <protection/>
    </xf>
    <xf numFmtId="183" fontId="4" fillId="5" borderId="1" xfId="29" applyNumberFormat="1" applyFont="1" applyBorder="1">
      <alignment/>
      <protection/>
    </xf>
    <xf numFmtId="183" fontId="4" fillId="5" borderId="67" xfId="29" applyNumberFormat="1" applyFont="1" applyBorder="1">
      <alignment/>
      <protection/>
    </xf>
    <xf numFmtId="183" fontId="0" fillId="0" borderId="9" xfId="0" applyNumberForma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0" borderId="33" xfId="0" applyNumberFormat="1" applyFill="1" applyBorder="1" applyAlignment="1">
      <alignment/>
    </xf>
    <xf numFmtId="183" fontId="0" fillId="0" borderId="23" xfId="0" applyNumberFormat="1" applyFill="1" applyBorder="1" applyAlignment="1">
      <alignment/>
    </xf>
    <xf numFmtId="183" fontId="0" fillId="0" borderId="24" xfId="0" applyNumberFormat="1" applyFill="1" applyBorder="1" applyAlignment="1">
      <alignment/>
    </xf>
    <xf numFmtId="183" fontId="0" fillId="0" borderId="60" xfId="0" applyNumberFormat="1" applyFill="1" applyBorder="1" applyAlignment="1">
      <alignment/>
    </xf>
    <xf numFmtId="183" fontId="34" fillId="0" borderId="7" xfId="29" applyNumberFormat="1" applyFont="1" applyFill="1" applyBorder="1">
      <alignment/>
      <protection/>
    </xf>
    <xf numFmtId="183" fontId="34" fillId="5" borderId="9" xfId="29" applyNumberFormat="1" applyFont="1" applyBorder="1">
      <alignment/>
      <protection/>
    </xf>
    <xf numFmtId="183" fontId="34" fillId="5" borderId="10" xfId="29" applyNumberFormat="1" applyFont="1" applyBorder="1">
      <alignment/>
      <protection/>
    </xf>
    <xf numFmtId="183" fontId="34" fillId="5" borderId="33" xfId="29" applyNumberFormat="1" applyFont="1" applyBorder="1">
      <alignment/>
      <protection/>
    </xf>
    <xf numFmtId="183" fontId="34" fillId="0" borderId="7" xfId="26" applyNumberFormat="1" applyFont="1" applyFill="1" applyBorder="1">
      <alignment/>
      <protection locked="0"/>
    </xf>
    <xf numFmtId="183" fontId="34" fillId="0" borderId="9" xfId="0" applyNumberFormat="1" applyFont="1" applyFill="1" applyBorder="1" applyAlignment="1">
      <alignment/>
    </xf>
    <xf numFmtId="183" fontId="34" fillId="0" borderId="10" xfId="0" applyNumberFormat="1" applyFont="1" applyFill="1" applyBorder="1" applyAlignment="1">
      <alignment/>
    </xf>
    <xf numFmtId="183" fontId="34" fillId="0" borderId="33" xfId="0" applyNumberFormat="1" applyFont="1" applyFill="1" applyBorder="1" applyAlignment="1">
      <alignment/>
    </xf>
    <xf numFmtId="183" fontId="34" fillId="0" borderId="8" xfId="26" applyNumberFormat="1" applyFont="1" applyFill="1" applyBorder="1">
      <alignment/>
      <protection locked="0"/>
    </xf>
    <xf numFmtId="183" fontId="34" fillId="0" borderId="16" xfId="0" applyNumberFormat="1" applyFont="1" applyFill="1" applyBorder="1" applyAlignment="1">
      <alignment/>
    </xf>
    <xf numFmtId="183" fontId="34" fillId="0" borderId="17" xfId="0" applyNumberFormat="1" applyFont="1" applyFill="1" applyBorder="1" applyAlignment="1">
      <alignment/>
    </xf>
    <xf numFmtId="183" fontId="34" fillId="0" borderId="36" xfId="0" applyNumberFormat="1" applyFont="1" applyFill="1" applyBorder="1" applyAlignment="1">
      <alignment/>
    </xf>
    <xf numFmtId="183" fontId="4" fillId="0" borderId="19" xfId="29" applyNumberFormat="1" applyFont="1" applyFill="1" applyBorder="1">
      <alignment/>
      <protection/>
    </xf>
    <xf numFmtId="183" fontId="4" fillId="5" borderId="54" xfId="29" applyNumberFormat="1" applyFont="1" applyBorder="1">
      <alignment/>
      <protection/>
    </xf>
    <xf numFmtId="183" fontId="4" fillId="5" borderId="43" xfId="29" applyNumberFormat="1" applyFont="1" applyBorder="1">
      <alignment/>
      <protection/>
    </xf>
    <xf numFmtId="183" fontId="4" fillId="5" borderId="75" xfId="29" applyNumberFormat="1" applyFont="1" applyBorder="1">
      <alignment/>
      <protection/>
    </xf>
    <xf numFmtId="183" fontId="20" fillId="0" borderId="12" xfId="26" applyNumberFormat="1" applyFont="1" applyFill="1" applyBorder="1">
      <alignment/>
      <protection locked="0"/>
    </xf>
    <xf numFmtId="183" fontId="20" fillId="0" borderId="0" xfId="26" applyNumberFormat="1" applyFont="1" applyFill="1" applyBorder="1">
      <alignment/>
      <protection locked="0"/>
    </xf>
    <xf numFmtId="183" fontId="4" fillId="0" borderId="0" xfId="0" applyNumberFormat="1" applyFont="1" applyFill="1" applyBorder="1" applyAlignment="1">
      <alignment/>
    </xf>
    <xf numFmtId="183" fontId="4" fillId="5" borderId="46" xfId="29" applyNumberFormat="1" applyFont="1" applyBorder="1">
      <alignment/>
      <protection/>
    </xf>
    <xf numFmtId="183" fontId="4" fillId="5" borderId="47" xfId="29" applyNumberFormat="1" applyFont="1" applyBorder="1">
      <alignment/>
      <protection/>
    </xf>
    <xf numFmtId="183" fontId="20" fillId="0" borderId="20" xfId="26" applyNumberFormat="1" applyFont="1" applyFill="1" applyBorder="1">
      <alignment/>
      <protection locked="0"/>
    </xf>
    <xf numFmtId="183" fontId="4" fillId="5" borderId="31" xfId="29" applyNumberFormat="1" applyFont="1" applyBorder="1">
      <alignment/>
      <protection/>
    </xf>
    <xf numFmtId="183" fontId="0" fillId="0" borderId="32" xfId="0" applyNumberFormat="1" applyFill="1" applyBorder="1" applyAlignment="1">
      <alignment/>
    </xf>
    <xf numFmtId="183" fontId="0" fillId="0" borderId="31" xfId="0" applyNumberFormat="1" applyFill="1" applyBorder="1" applyAlignment="1">
      <alignment/>
    </xf>
    <xf numFmtId="183" fontId="4" fillId="0" borderId="8" xfId="29" applyNumberFormat="1" applyFont="1" applyFill="1" applyBorder="1">
      <alignment/>
      <protection/>
    </xf>
    <xf numFmtId="183" fontId="4" fillId="5" borderId="16" xfId="29" applyNumberFormat="1" applyFont="1" applyBorder="1">
      <alignment/>
      <protection/>
    </xf>
    <xf numFmtId="183" fontId="4" fillId="5" borderId="62" xfId="29" applyNumberFormat="1" applyFont="1" applyBorder="1">
      <alignment/>
      <protection/>
    </xf>
    <xf numFmtId="183" fontId="4" fillId="5" borderId="17" xfId="29" applyNumberFormat="1" applyFont="1" applyBorder="1">
      <alignment/>
      <protection/>
    </xf>
    <xf numFmtId="183" fontId="4" fillId="5" borderId="36" xfId="29" applyNumberFormat="1" applyFont="1" applyBorder="1">
      <alignment/>
      <protection/>
    </xf>
    <xf numFmtId="183" fontId="5" fillId="0" borderId="8" xfId="26" applyNumberFormat="1" applyFont="1" applyFill="1" applyBorder="1">
      <alignment/>
      <protection locked="0"/>
    </xf>
    <xf numFmtId="183" fontId="0" fillId="0" borderId="16" xfId="0" applyNumberFormat="1" applyFill="1" applyBorder="1" applyAlignment="1">
      <alignment/>
    </xf>
    <xf numFmtId="183" fontId="0" fillId="0" borderId="62" xfId="0" applyNumberFormat="1" applyFill="1" applyBorder="1" applyAlignment="1">
      <alignment/>
    </xf>
    <xf numFmtId="183" fontId="0" fillId="0" borderId="17" xfId="0" applyNumberFormat="1" applyFill="1" applyBorder="1" applyAlignment="1">
      <alignment/>
    </xf>
    <xf numFmtId="183" fontId="0" fillId="0" borderId="36" xfId="0" applyNumberFormat="1" applyFill="1" applyBorder="1" applyAlignment="1">
      <alignment/>
    </xf>
    <xf numFmtId="183" fontId="20" fillId="0" borderId="73" xfId="26" applyNumberFormat="1" applyFont="1" applyFill="1" applyBorder="1">
      <alignment/>
      <protection locked="0"/>
    </xf>
    <xf numFmtId="183" fontId="0" fillId="0" borderId="0" xfId="0" applyNumberFormat="1" applyBorder="1" applyAlignment="1">
      <alignment/>
    </xf>
    <xf numFmtId="166" fontId="36" fillId="0" borderId="26" xfId="27" applyFont="1" applyFill="1" applyBorder="1">
      <alignment horizontal="left"/>
      <protection/>
    </xf>
    <xf numFmtId="183" fontId="36" fillId="0" borderId="26" xfId="29" applyNumberFormat="1" applyFont="1" applyFill="1" applyBorder="1">
      <alignment/>
      <protection/>
    </xf>
    <xf numFmtId="183" fontId="36" fillId="0" borderId="27" xfId="29" applyNumberFormat="1" applyFont="1" applyFill="1" applyBorder="1">
      <alignment/>
      <protection/>
    </xf>
    <xf numFmtId="183" fontId="36" fillId="0" borderId="28" xfId="29" applyNumberFormat="1" applyFont="1" applyFill="1" applyBorder="1">
      <alignment/>
      <protection/>
    </xf>
    <xf numFmtId="183" fontId="36" fillId="0" borderId="71" xfId="29" applyNumberFormat="1" applyFont="1" applyFill="1" applyBorder="1">
      <alignment/>
      <protection/>
    </xf>
    <xf numFmtId="166" fontId="36" fillId="0" borderId="12" xfId="27" applyFont="1" applyFill="1" applyBorder="1">
      <alignment horizontal="left"/>
      <protection/>
    </xf>
    <xf numFmtId="183" fontId="36" fillId="0" borderId="12" xfId="29" applyNumberFormat="1" applyFont="1" applyFill="1" applyBorder="1">
      <alignment/>
      <protection/>
    </xf>
    <xf numFmtId="183" fontId="36" fillId="0" borderId="13" xfId="29" applyNumberFormat="1" applyFont="1" applyFill="1" applyBorder="1">
      <alignment/>
      <protection/>
    </xf>
    <xf numFmtId="183" fontId="36" fillId="0" borderId="14" xfId="29" applyNumberFormat="1" applyFont="1" applyFill="1" applyBorder="1">
      <alignment/>
      <protection/>
    </xf>
    <xf numFmtId="183" fontId="36" fillId="0" borderId="65" xfId="29" applyNumberFormat="1" applyFont="1" applyFill="1" applyBorder="1">
      <alignment/>
      <protection/>
    </xf>
    <xf numFmtId="166" fontId="36" fillId="0" borderId="8" xfId="28" applyFont="1" applyFill="1" applyBorder="1">
      <alignment horizontal="left"/>
      <protection/>
    </xf>
    <xf numFmtId="183" fontId="36" fillId="6" borderId="8" xfId="30" applyNumberFormat="1" applyFont="1" applyBorder="1">
      <alignment/>
      <protection/>
    </xf>
    <xf numFmtId="183" fontId="36" fillId="6" borderId="16" xfId="30" applyNumberFormat="1" applyFont="1" applyBorder="1">
      <alignment/>
      <protection/>
    </xf>
    <xf numFmtId="183" fontId="36" fillId="6" borderId="17" xfId="30" applyNumberFormat="1" applyFont="1" applyBorder="1">
      <alignment/>
      <protection/>
    </xf>
    <xf numFmtId="183" fontId="36" fillId="6" borderId="36" xfId="30" applyNumberFormat="1" applyFont="1" applyBorder="1">
      <alignment/>
      <protection/>
    </xf>
    <xf numFmtId="183" fontId="36" fillId="6" borderId="0" xfId="30" applyNumberFormat="1" applyFont="1" applyBorder="1">
      <alignment/>
      <protection/>
    </xf>
    <xf numFmtId="183" fontId="0" fillId="0" borderId="7" xfId="33" applyNumberFormat="1" applyFont="1" applyFill="1" applyBorder="1" applyAlignment="1">
      <alignment horizontal="right" vertical="center"/>
      <protection/>
    </xf>
    <xf numFmtId="183" fontId="0" fillId="0" borderId="9" xfId="33" applyNumberFormat="1" applyFont="1" applyFill="1" applyBorder="1" applyAlignment="1">
      <alignment horizontal="right" vertical="center"/>
      <protection/>
    </xf>
    <xf numFmtId="183" fontId="0" fillId="0" borderId="31" xfId="33" applyNumberFormat="1" applyFont="1" applyFill="1" applyBorder="1" applyAlignment="1">
      <alignment horizontal="right" vertical="center"/>
      <protection/>
    </xf>
    <xf numFmtId="183" fontId="0" fillId="0" borderId="10" xfId="33" applyNumberFormat="1" applyFont="1" applyFill="1" applyBorder="1" applyAlignment="1">
      <alignment horizontal="right" vertical="center"/>
      <protection/>
    </xf>
    <xf numFmtId="183" fontId="0" fillId="0" borderId="33" xfId="33" applyNumberFormat="1" applyFont="1" applyFill="1" applyBorder="1" applyAlignment="1">
      <alignment horizontal="right" vertical="center"/>
      <protection/>
    </xf>
    <xf numFmtId="166" fontId="36" fillId="0" borderId="12" xfId="28" applyFont="1" applyFill="1" applyBorder="1">
      <alignment horizontal="left"/>
      <protection/>
    </xf>
    <xf numFmtId="183" fontId="36" fillId="0" borderId="12" xfId="26" applyNumberFormat="1" applyFont="1" applyFill="1" applyBorder="1">
      <alignment/>
      <protection locked="0"/>
    </xf>
    <xf numFmtId="183" fontId="36" fillId="0" borderId="13" xfId="26" applyNumberFormat="1" applyFont="1" applyFill="1" applyBorder="1">
      <alignment/>
      <protection locked="0"/>
    </xf>
    <xf numFmtId="183" fontId="36" fillId="0" borderId="14" xfId="26" applyNumberFormat="1" applyFont="1" applyFill="1" applyBorder="1">
      <alignment/>
      <protection locked="0"/>
    </xf>
    <xf numFmtId="183" fontId="36" fillId="0" borderId="65" xfId="26" applyNumberFormat="1" applyFont="1" applyFill="1" applyBorder="1">
      <alignment/>
      <protection locked="0"/>
    </xf>
    <xf numFmtId="183" fontId="36" fillId="6" borderId="26" xfId="30" applyNumberFormat="1" applyFont="1" applyBorder="1">
      <alignment/>
      <protection/>
    </xf>
    <xf numFmtId="183" fontId="36" fillId="6" borderId="27" xfId="30" applyNumberFormat="1" applyFont="1" applyBorder="1">
      <alignment/>
      <protection/>
    </xf>
    <xf numFmtId="183" fontId="36" fillId="6" borderId="48" xfId="30" applyNumberFormat="1" applyFont="1" applyBorder="1">
      <alignment/>
      <protection/>
    </xf>
    <xf numFmtId="183" fontId="36" fillId="6" borderId="28" xfId="30" applyNumberFormat="1" applyFont="1" applyBorder="1">
      <alignment/>
      <protection/>
    </xf>
    <xf numFmtId="183" fontId="36" fillId="6" borderId="71" xfId="30" applyNumberFormat="1" applyFont="1" applyBorder="1">
      <alignment/>
      <protection/>
    </xf>
    <xf numFmtId="183" fontId="4" fillId="6" borderId="0" xfId="30" applyNumberFormat="1" applyFont="1" applyBorder="1">
      <alignment/>
      <protection/>
    </xf>
    <xf numFmtId="183" fontId="0" fillId="6" borderId="34" xfId="30" applyNumberFormat="1" applyFont="1" applyBorder="1">
      <alignment/>
      <protection/>
    </xf>
    <xf numFmtId="183" fontId="4" fillId="0" borderId="7" xfId="33" applyNumberFormat="1" applyFont="1" applyFill="1" applyBorder="1" applyAlignment="1">
      <alignment horizontal="right" vertical="center"/>
      <protection/>
    </xf>
    <xf numFmtId="183" fontId="4" fillId="0" borderId="9" xfId="33" applyNumberFormat="1" applyFont="1" applyFill="1" applyBorder="1" applyAlignment="1">
      <alignment horizontal="right" vertical="center"/>
      <protection/>
    </xf>
    <xf numFmtId="183" fontId="4" fillId="0" borderId="31" xfId="33" applyNumberFormat="1" applyFont="1" applyFill="1" applyBorder="1" applyAlignment="1">
      <alignment horizontal="right" vertical="center"/>
      <protection/>
    </xf>
    <xf numFmtId="183" fontId="4" fillId="0" borderId="10" xfId="33" applyNumberFormat="1" applyFont="1" applyFill="1" applyBorder="1" applyAlignment="1">
      <alignment horizontal="right" vertical="center"/>
      <protection/>
    </xf>
    <xf numFmtId="183" fontId="4" fillId="0" borderId="33" xfId="33" applyNumberFormat="1" applyFont="1" applyFill="1" applyBorder="1" applyAlignment="1">
      <alignment horizontal="right" vertical="center"/>
      <protection/>
    </xf>
    <xf numFmtId="1" fontId="0" fillId="0" borderId="22" xfId="32" applyFont="1" applyFill="1" applyBorder="1">
      <alignment horizontal="left"/>
      <protection/>
    </xf>
    <xf numFmtId="183" fontId="0" fillId="0" borderId="22" xfId="33" applyNumberFormat="1" applyFont="1" applyFill="1" applyBorder="1" applyAlignment="1">
      <alignment horizontal="right" vertical="center"/>
      <protection/>
    </xf>
    <xf numFmtId="183" fontId="0" fillId="0" borderId="23" xfId="33" applyNumberFormat="1" applyFont="1" applyFill="1" applyBorder="1" applyAlignment="1">
      <alignment horizontal="right" vertical="center"/>
      <protection/>
    </xf>
    <xf numFmtId="183" fontId="0" fillId="0" borderId="32" xfId="33" applyNumberFormat="1" applyFont="1" applyFill="1" applyBorder="1" applyAlignment="1">
      <alignment horizontal="right" vertical="center"/>
      <protection/>
    </xf>
    <xf numFmtId="183" fontId="0" fillId="0" borderId="24" xfId="33" applyNumberFormat="1" applyFont="1" applyFill="1" applyBorder="1" applyAlignment="1">
      <alignment horizontal="right" vertical="center"/>
      <protection/>
    </xf>
    <xf numFmtId="183" fontId="0" fillId="0" borderId="60" xfId="33" applyNumberFormat="1" applyFont="1" applyFill="1" applyBorder="1" applyAlignment="1">
      <alignment horizontal="right" vertical="center"/>
      <protection/>
    </xf>
    <xf numFmtId="0" fontId="0" fillId="0" borderId="51" xfId="0" applyFill="1" applyBorder="1" applyAlignment="1">
      <alignment/>
    </xf>
    <xf numFmtId="0" fontId="0" fillId="0" borderId="74" xfId="0" applyFill="1" applyBorder="1" applyAlignment="1">
      <alignment/>
    </xf>
    <xf numFmtId="9" fontId="0" fillId="0" borderId="40" xfId="0" applyNumberFormat="1" applyFill="1" applyBorder="1" applyAlignment="1">
      <alignment/>
    </xf>
    <xf numFmtId="0" fontId="0" fillId="0" borderId="52" xfId="0" applyFill="1" applyBorder="1" applyAlignment="1">
      <alignment/>
    </xf>
    <xf numFmtId="169" fontId="0" fillId="0" borderId="31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" xfId="0" applyFill="1" applyBorder="1" applyAlignment="1">
      <alignment/>
    </xf>
    <xf numFmtId="169" fontId="0" fillId="0" borderId="32" xfId="0" applyNumberFormat="1" applyFill="1" applyBorder="1" applyAlignment="1">
      <alignment/>
    </xf>
    <xf numFmtId="167" fontId="5" fillId="0" borderId="77" xfId="26" applyFont="1" applyFill="1" applyBorder="1">
      <alignment/>
      <protection locked="0"/>
    </xf>
    <xf numFmtId="166" fontId="10" fillId="0" borderId="0" xfId="27" applyFont="1" applyFill="1" applyBorder="1">
      <alignment horizontal="left"/>
      <protection/>
    </xf>
    <xf numFmtId="184" fontId="0" fillId="0" borderId="7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33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62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36" xfId="0" applyNumberFormat="1" applyBorder="1" applyAlignment="1">
      <alignment/>
    </xf>
    <xf numFmtId="0" fontId="0" fillId="0" borderId="12" xfId="0" applyFill="1" applyBorder="1" applyAlignment="1">
      <alignment/>
    </xf>
    <xf numFmtId="184" fontId="0" fillId="0" borderId="58" xfId="0" applyNumberFormat="1" applyBorder="1" applyAlignment="1">
      <alignment/>
    </xf>
    <xf numFmtId="184" fontId="0" fillId="0" borderId="61" xfId="0" applyNumberFormat="1" applyBorder="1" applyAlignment="1">
      <alignment/>
    </xf>
    <xf numFmtId="184" fontId="0" fillId="0" borderId="35" xfId="0" applyNumberFormat="1" applyBorder="1" applyAlignment="1">
      <alignment/>
    </xf>
    <xf numFmtId="185" fontId="0" fillId="0" borderId="58" xfId="0" applyNumberFormat="1" applyBorder="1" applyAlignment="1">
      <alignment/>
    </xf>
    <xf numFmtId="185" fontId="0" fillId="0" borderId="61" xfId="0" applyNumberFormat="1" applyBorder="1" applyAlignment="1">
      <alignment/>
    </xf>
    <xf numFmtId="185" fontId="0" fillId="0" borderId="35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0" fillId="0" borderId="33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62" xfId="0" applyNumberFormat="1" applyBorder="1" applyAlignment="1">
      <alignment/>
    </xf>
    <xf numFmtId="185" fontId="0" fillId="0" borderId="36" xfId="0" applyNumberFormat="1" applyBorder="1" applyAlignment="1">
      <alignment/>
    </xf>
    <xf numFmtId="184" fontId="0" fillId="0" borderId="59" xfId="0" applyNumberFormat="1" applyBorder="1" applyAlignment="1">
      <alignment/>
    </xf>
    <xf numFmtId="183" fontId="4" fillId="0" borderId="34" xfId="29" applyNumberFormat="1" applyFont="1" applyFill="1" applyBorder="1">
      <alignment/>
      <protection/>
    </xf>
    <xf numFmtId="183" fontId="4" fillId="0" borderId="3" xfId="29" applyNumberFormat="1" applyFont="1" applyFill="1" applyBorder="1">
      <alignment/>
      <protection/>
    </xf>
    <xf numFmtId="0" fontId="13" fillId="0" borderId="0" xfId="0" applyFont="1" applyAlignment="1">
      <alignment/>
    </xf>
    <xf numFmtId="14" fontId="0" fillId="0" borderId="0" xfId="0" applyNumberFormat="1" applyFill="1" applyAlignment="1">
      <alignment/>
    </xf>
    <xf numFmtId="0" fontId="38" fillId="0" borderId="0" xfId="0" applyFont="1" applyAlignment="1">
      <alignment/>
    </xf>
    <xf numFmtId="3" fontId="0" fillId="0" borderId="2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88" fontId="0" fillId="0" borderId="0" xfId="0" applyNumberFormat="1" applyAlignment="1">
      <alignment/>
    </xf>
    <xf numFmtId="183" fontId="0" fillId="0" borderId="7" xfId="29" applyNumberFormat="1" applyFont="1" applyFill="1" applyBorder="1">
      <alignment/>
      <protection/>
    </xf>
    <xf numFmtId="183" fontId="0" fillId="5" borderId="9" xfId="29" applyNumberFormat="1" applyFont="1" applyBorder="1">
      <alignment/>
      <protection/>
    </xf>
    <xf numFmtId="183" fontId="0" fillId="5" borderId="10" xfId="29" applyNumberFormat="1" applyFont="1" applyBorder="1">
      <alignment/>
      <protection/>
    </xf>
    <xf numFmtId="183" fontId="0" fillId="5" borderId="33" xfId="29" applyNumberFormat="1" applyFont="1" applyBorder="1">
      <alignment/>
      <protection/>
    </xf>
    <xf numFmtId="183" fontId="4" fillId="0" borderId="37" xfId="0" applyNumberFormat="1" applyFont="1" applyFill="1" applyBorder="1" applyAlignment="1">
      <alignment/>
    </xf>
    <xf numFmtId="183" fontId="4" fillId="0" borderId="30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4" fillId="0" borderId="67" xfId="0" applyNumberFormat="1" applyFont="1" applyFill="1" applyBorder="1" applyAlignment="1">
      <alignment/>
    </xf>
    <xf numFmtId="183" fontId="4" fillId="0" borderId="9" xfId="0" applyNumberFormat="1" applyFont="1" applyFill="1" applyBorder="1" applyAlignment="1">
      <alignment/>
    </xf>
    <xf numFmtId="183" fontId="4" fillId="0" borderId="31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3" fontId="4" fillId="0" borderId="33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1" fillId="0" borderId="6" xfId="0" applyFont="1" applyFill="1" applyBorder="1" applyAlignment="1">
      <alignment horizontal="center"/>
    </xf>
    <xf numFmtId="0" fontId="36" fillId="0" borderId="3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68" fontId="0" fillId="0" borderId="33" xfId="0" applyNumberFormat="1" applyBorder="1" applyAlignment="1">
      <alignment/>
    </xf>
    <xf numFmtId="168" fontId="0" fillId="0" borderId="36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168" fontId="0" fillId="0" borderId="35" xfId="0" applyNumberFormat="1" applyBorder="1" applyAlignment="1">
      <alignment/>
    </xf>
    <xf numFmtId="3" fontId="0" fillId="0" borderId="31" xfId="0" applyNumberFormat="1" applyBorder="1" applyAlignment="1">
      <alignment/>
    </xf>
    <xf numFmtId="169" fontId="10" fillId="0" borderId="31" xfId="20" applyNumberFormat="1" applyFont="1" applyBorder="1" applyAlignment="1">
      <alignment/>
    </xf>
    <xf numFmtId="169" fontId="10" fillId="0" borderId="61" xfId="20" applyNumberFormat="1" applyFont="1" applyBorder="1" applyAlignment="1">
      <alignment/>
    </xf>
    <xf numFmtId="169" fontId="10" fillId="0" borderId="62" xfId="20" applyNumberFormat="1" applyFont="1" applyBorder="1" applyAlignment="1">
      <alignment/>
    </xf>
    <xf numFmtId="3" fontId="4" fillId="0" borderId="57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169" fontId="10" fillId="0" borderId="33" xfId="20" applyNumberFormat="1" applyFont="1" applyBorder="1" applyAlignment="1">
      <alignment/>
    </xf>
    <xf numFmtId="3" fontId="4" fillId="0" borderId="63" xfId="0" applyNumberFormat="1" applyFont="1" applyBorder="1" applyAlignment="1">
      <alignment horizontal="center"/>
    </xf>
    <xf numFmtId="169" fontId="10" fillId="0" borderId="36" xfId="2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78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9" borderId="13" xfId="0" applyFont="1" applyFill="1" applyBorder="1" applyAlignment="1">
      <alignment horizontal="center" vertical="top" wrapText="1"/>
    </xf>
    <xf numFmtId="0" fontId="4" fillId="9" borderId="73" xfId="0" applyFont="1" applyFill="1" applyBorder="1" applyAlignment="1">
      <alignment horizontal="center" vertical="top" wrapText="1"/>
    </xf>
    <xf numFmtId="0" fontId="14" fillId="9" borderId="46" xfId="0" applyFont="1" applyFill="1" applyBorder="1" applyAlignment="1">
      <alignment horizontal="center" vertical="top" wrapText="1"/>
    </xf>
    <xf numFmtId="0" fontId="4" fillId="9" borderId="65" xfId="0" applyFont="1" applyFill="1" applyBorder="1" applyAlignment="1">
      <alignment horizontal="center" vertical="top" wrapText="1"/>
    </xf>
    <xf numFmtId="0" fontId="4" fillId="9" borderId="64" xfId="0" applyFont="1" applyFill="1" applyBorder="1" applyAlignment="1">
      <alignment horizontal="center" vertical="top" wrapText="1"/>
    </xf>
    <xf numFmtId="0" fontId="14" fillId="9" borderId="65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0" fontId="4" fillId="9" borderId="4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2" fillId="0" borderId="13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10" fontId="10" fillId="0" borderId="15" xfId="20" applyNumberFormat="1" applyFont="1" applyBorder="1" applyAlignment="1">
      <alignment vertical="center"/>
    </xf>
    <xf numFmtId="0" fontId="10" fillId="0" borderId="64" xfId="0" applyFont="1" applyBorder="1" applyAlignment="1">
      <alignment/>
    </xf>
    <xf numFmtId="10" fontId="12" fillId="0" borderId="65" xfId="20" applyNumberFormat="1" applyFont="1" applyBorder="1" applyAlignment="1">
      <alignment vertical="center"/>
    </xf>
    <xf numFmtId="10" fontId="10" fillId="0" borderId="14" xfId="20" applyNumberFormat="1" applyFont="1" applyBorder="1" applyAlignment="1">
      <alignment horizontal="center" vertical="center"/>
    </xf>
    <xf numFmtId="10" fontId="10" fillId="0" borderId="65" xfId="20" applyNumberFormat="1" applyFont="1" applyBorder="1" applyAlignment="1">
      <alignment horizontal="center" vertical="center"/>
    </xf>
    <xf numFmtId="0" fontId="12" fillId="9" borderId="64" xfId="0" applyFont="1" applyFill="1" applyBorder="1" applyAlignment="1">
      <alignment/>
    </xf>
    <xf numFmtId="0" fontId="12" fillId="9" borderId="65" xfId="0" applyFont="1" applyFill="1" applyBorder="1" applyAlignment="1">
      <alignment/>
    </xf>
    <xf numFmtId="173" fontId="12" fillId="9" borderId="73" xfId="0" applyNumberFormat="1" applyFont="1" applyFill="1" applyBorder="1" applyAlignment="1">
      <alignment horizontal="center"/>
    </xf>
    <xf numFmtId="173" fontId="12" fillId="9" borderId="46" xfId="0" applyNumberFormat="1" applyFont="1" applyFill="1" applyBorder="1" applyAlignment="1">
      <alignment/>
    </xf>
    <xf numFmtId="173" fontId="12" fillId="9" borderId="14" xfId="0" applyNumberFormat="1" applyFont="1" applyFill="1" applyBorder="1" applyAlignment="1">
      <alignment horizontal="center"/>
    </xf>
    <xf numFmtId="173" fontId="12" fillId="9" borderId="46" xfId="0" applyNumberFormat="1" applyFont="1" applyFill="1" applyBorder="1" applyAlignment="1">
      <alignment horizontal="center"/>
    </xf>
    <xf numFmtId="173" fontId="12" fillId="9" borderId="65" xfId="0" applyNumberFormat="1" applyFont="1" applyFill="1" applyBorder="1" applyAlignment="1">
      <alignment horizontal="center"/>
    </xf>
    <xf numFmtId="3" fontId="36" fillId="0" borderId="34" xfId="0" applyNumberFormat="1" applyFont="1" applyBorder="1" applyAlignment="1">
      <alignment horizontal="center"/>
    </xf>
    <xf numFmtId="169" fontId="43" fillId="0" borderId="61" xfId="20" applyNumberFormat="1" applyFont="1" applyBorder="1" applyAlignment="1">
      <alignment/>
    </xf>
    <xf numFmtId="3" fontId="36" fillId="0" borderId="0" xfId="0" applyNumberFormat="1" applyFont="1" applyBorder="1" applyAlignment="1">
      <alignment horizontal="center"/>
    </xf>
    <xf numFmtId="169" fontId="43" fillId="0" borderId="31" xfId="2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69" fontId="0" fillId="0" borderId="3" xfId="20" applyNumberFormat="1" applyBorder="1" applyAlignment="1">
      <alignment horizontal="center"/>
    </xf>
    <xf numFmtId="0" fontId="0" fillId="0" borderId="78" xfId="0" applyBorder="1" applyAlignment="1">
      <alignment/>
    </xf>
    <xf numFmtId="0" fontId="0" fillId="0" borderId="34" xfId="0" applyBorder="1" applyAlignment="1">
      <alignment horizontal="center"/>
    </xf>
    <xf numFmtId="3" fontId="0" fillId="0" borderId="33" xfId="0" applyNumberFormat="1" applyFont="1" applyBorder="1" applyAlignment="1">
      <alignment/>
    </xf>
    <xf numFmtId="10" fontId="0" fillId="0" borderId="35" xfId="20" applyNumberFormat="1" applyBorder="1" applyAlignment="1">
      <alignment/>
    </xf>
    <xf numFmtId="10" fontId="0" fillId="0" borderId="33" xfId="20" applyNumberFormat="1" applyBorder="1" applyAlignment="1">
      <alignment/>
    </xf>
    <xf numFmtId="10" fontId="0" fillId="0" borderId="36" xfId="2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6" xfId="0" applyNumberFormat="1" applyBorder="1" applyAlignment="1">
      <alignment/>
    </xf>
    <xf numFmtId="169" fontId="0" fillId="0" borderId="9" xfId="20" applyNumberFormat="1" applyBorder="1" applyAlignment="1">
      <alignment/>
    </xf>
    <xf numFmtId="169" fontId="0" fillId="0" borderId="16" xfId="20" applyNumberFormat="1" applyBorder="1" applyAlignment="1">
      <alignment/>
    </xf>
    <xf numFmtId="169" fontId="0" fillId="0" borderId="76" xfId="20" applyNumberFormat="1" applyBorder="1" applyAlignment="1">
      <alignment/>
    </xf>
    <xf numFmtId="169" fontId="0" fillId="0" borderId="59" xfId="20" applyNumberFormat="1" applyFont="1" applyBorder="1" applyAlignment="1">
      <alignment/>
    </xf>
    <xf numFmtId="169" fontId="0" fillId="0" borderId="10" xfId="20" applyNumberFormat="1" applyFont="1" applyBorder="1" applyAlignment="1">
      <alignment/>
    </xf>
    <xf numFmtId="169" fontId="0" fillId="0" borderId="17" xfId="2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59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9" borderId="12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7" fontId="20" fillId="0" borderId="37" xfId="26" applyFont="1" applyFill="1" applyBorder="1">
      <alignment/>
      <protection locked="0"/>
    </xf>
    <xf numFmtId="167" fontId="20" fillId="0" borderId="1" xfId="26" applyFont="1" applyFill="1" applyBorder="1">
      <alignment/>
      <protection locked="0"/>
    </xf>
    <xf numFmtId="167" fontId="20" fillId="0" borderId="67" xfId="26" applyFont="1" applyFill="1" applyBorder="1">
      <alignment/>
      <protection locked="0"/>
    </xf>
    <xf numFmtId="167" fontId="4" fillId="0" borderId="9" xfId="29" applyFont="1" applyFill="1" applyBorder="1">
      <alignment/>
      <protection/>
    </xf>
    <xf numFmtId="167" fontId="4" fillId="0" borderId="10" xfId="29" applyFont="1" applyFill="1" applyBorder="1">
      <alignment/>
      <protection/>
    </xf>
    <xf numFmtId="167" fontId="4" fillId="0" borderId="33" xfId="29" applyFont="1" applyFill="1" applyBorder="1">
      <alignment/>
      <protection/>
    </xf>
    <xf numFmtId="167" fontId="5" fillId="0" borderId="23" xfId="26" applyFont="1" applyFill="1" applyBorder="1">
      <alignment/>
      <protection locked="0"/>
    </xf>
    <xf numFmtId="167" fontId="5" fillId="0" borderId="24" xfId="26" applyFont="1" applyFill="1" applyBorder="1">
      <alignment/>
      <protection locked="0"/>
    </xf>
    <xf numFmtId="167" fontId="5" fillId="0" borderId="60" xfId="26" applyFont="1" applyFill="1" applyBorder="1">
      <alignment/>
      <protection locked="0"/>
    </xf>
    <xf numFmtId="167" fontId="5" fillId="0" borderId="16" xfId="26" applyFont="1" applyFill="1" applyBorder="1">
      <alignment/>
      <protection locked="0"/>
    </xf>
    <xf numFmtId="167" fontId="5" fillId="0" borderId="17" xfId="26" applyFont="1" applyFill="1" applyBorder="1">
      <alignment/>
      <protection locked="0"/>
    </xf>
    <xf numFmtId="167" fontId="5" fillId="0" borderId="36" xfId="26" applyFont="1" applyFill="1" applyBorder="1">
      <alignment/>
      <protection locked="0"/>
    </xf>
    <xf numFmtId="167" fontId="4" fillId="0" borderId="0" xfId="0" applyNumberFormat="1" applyFont="1" applyFill="1" applyBorder="1" applyAlignment="1">
      <alignment horizontal="left"/>
    </xf>
    <xf numFmtId="167" fontId="4" fillId="0" borderId="16" xfId="29" applyFont="1" applyFill="1" applyBorder="1">
      <alignment/>
      <protection/>
    </xf>
    <xf numFmtId="167" fontId="4" fillId="0" borderId="17" xfId="29" applyFont="1" applyFill="1" applyBorder="1">
      <alignment/>
      <protection/>
    </xf>
    <xf numFmtId="167" fontId="4" fillId="0" borderId="36" xfId="29" applyFont="1" applyFill="1" applyBorder="1">
      <alignment/>
      <protection/>
    </xf>
    <xf numFmtId="167" fontId="0" fillId="0" borderId="0" xfId="0" applyNumberFormat="1" applyFill="1" applyBorder="1" applyAlignment="1">
      <alignment/>
    </xf>
    <xf numFmtId="0" fontId="45" fillId="0" borderId="0" xfId="0" applyFont="1" applyAlignment="1">
      <alignment vertical="center"/>
    </xf>
    <xf numFmtId="1" fontId="4" fillId="9" borderId="64" xfId="32" applyFont="1" applyFill="1" applyBorder="1">
      <alignment horizontal="left"/>
      <protection/>
    </xf>
    <xf numFmtId="1" fontId="4" fillId="9" borderId="65" xfId="32" applyFont="1" applyFill="1" applyBorder="1">
      <alignment horizontal="left"/>
      <protection/>
    </xf>
    <xf numFmtId="164" fontId="4" fillId="9" borderId="13" xfId="33" applyFont="1" applyFill="1" applyBorder="1">
      <alignment horizontal="center" vertical="center"/>
      <protection/>
    </xf>
    <xf numFmtId="164" fontId="4" fillId="9" borderId="14" xfId="33" applyFont="1" applyFill="1" applyBorder="1">
      <alignment horizontal="center" vertical="center"/>
      <protection/>
    </xf>
    <xf numFmtId="164" fontId="4" fillId="9" borderId="65" xfId="33" applyFont="1" applyFill="1" applyBorder="1">
      <alignment horizontal="center" vertical="center"/>
      <protection/>
    </xf>
    <xf numFmtId="164" fontId="46" fillId="0" borderId="64" xfId="24" applyFont="1" applyFill="1" applyBorder="1">
      <alignment horizontal="left"/>
      <protection/>
    </xf>
    <xf numFmtId="166" fontId="46" fillId="0" borderId="65" xfId="27" applyFont="1" applyFill="1" applyBorder="1">
      <alignment horizontal="left"/>
      <protection/>
    </xf>
    <xf numFmtId="167" fontId="46" fillId="0" borderId="13" xfId="29" applyFont="1" applyFill="1" applyBorder="1">
      <alignment/>
      <protection/>
    </xf>
    <xf numFmtId="167" fontId="46" fillId="0" borderId="14" xfId="29" applyFont="1" applyFill="1" applyBorder="1">
      <alignment/>
      <protection/>
    </xf>
    <xf numFmtId="167" fontId="46" fillId="0" borderId="65" xfId="29" applyFont="1" applyFill="1" applyBorder="1">
      <alignment/>
      <protection/>
    </xf>
    <xf numFmtId="164" fontId="46" fillId="0" borderId="64" xfId="25" applyFont="1" applyFill="1" applyBorder="1">
      <alignment horizontal="left"/>
      <protection/>
    </xf>
    <xf numFmtId="164" fontId="4" fillId="0" borderId="72" xfId="25" applyFont="1" applyFill="1" applyBorder="1">
      <alignment horizontal="left"/>
      <protection/>
    </xf>
    <xf numFmtId="166" fontId="4" fillId="0" borderId="79" xfId="28" applyFont="1" applyFill="1" applyBorder="1">
      <alignment horizontal="left"/>
      <protection/>
    </xf>
    <xf numFmtId="167" fontId="4" fillId="0" borderId="55" xfId="29" applyFont="1" applyFill="1" applyBorder="1">
      <alignment/>
      <protection/>
    </xf>
    <xf numFmtId="167" fontId="4" fillId="0" borderId="41" xfId="29" applyFont="1" applyFill="1" applyBorder="1">
      <alignment/>
      <protection/>
    </xf>
    <xf numFmtId="167" fontId="4" fillId="0" borderId="79" xfId="29" applyFont="1" applyFill="1" applyBorder="1">
      <alignment/>
      <protection/>
    </xf>
    <xf numFmtId="164" fontId="33" fillId="0" borderId="38" xfId="24" applyFont="1" applyFill="1" applyBorder="1">
      <alignment horizontal="left"/>
      <protection/>
    </xf>
    <xf numFmtId="166" fontId="33" fillId="0" borderId="75" xfId="27" applyFont="1" applyFill="1" applyBorder="1">
      <alignment horizontal="left"/>
      <protection/>
    </xf>
    <xf numFmtId="167" fontId="33" fillId="0" borderId="54" xfId="29" applyFont="1" applyFill="1" applyBorder="1">
      <alignment/>
      <protection/>
    </xf>
    <xf numFmtId="167" fontId="33" fillId="0" borderId="43" xfId="29" applyFont="1" applyFill="1" applyBorder="1">
      <alignment/>
      <protection/>
    </xf>
    <xf numFmtId="167" fontId="33" fillId="0" borderId="75" xfId="29" applyFont="1" applyFill="1" applyBorder="1">
      <alignment/>
      <protection/>
    </xf>
    <xf numFmtId="164" fontId="33" fillId="0" borderId="64" xfId="24" applyFont="1" applyFill="1" applyBorder="1">
      <alignment horizontal="left"/>
      <protection/>
    </xf>
    <xf numFmtId="166" fontId="33" fillId="0" borderId="65" xfId="27" applyFont="1" applyFill="1" applyBorder="1">
      <alignment horizontal="left"/>
      <protection/>
    </xf>
    <xf numFmtId="167" fontId="33" fillId="0" borderId="13" xfId="26" applyFont="1" applyFill="1" applyBorder="1">
      <alignment/>
      <protection locked="0"/>
    </xf>
    <xf numFmtId="167" fontId="33" fillId="0" borderId="14" xfId="26" applyFont="1" applyFill="1" applyBorder="1">
      <alignment/>
      <protection locked="0"/>
    </xf>
    <xf numFmtId="167" fontId="33" fillId="0" borderId="65" xfId="26" applyFont="1" applyFill="1" applyBorder="1">
      <alignment/>
      <protection locked="0"/>
    </xf>
    <xf numFmtId="0" fontId="4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" fontId="4" fillId="9" borderId="73" xfId="32" applyFont="1" applyFill="1" applyBorder="1">
      <alignment horizontal="left"/>
      <protection/>
    </xf>
    <xf numFmtId="164" fontId="4" fillId="9" borderId="46" xfId="33" applyFont="1" applyFill="1" applyBorder="1">
      <alignment horizontal="center" vertical="center"/>
      <protection/>
    </xf>
    <xf numFmtId="164" fontId="49" fillId="0" borderId="64" xfId="25" applyFont="1" applyFill="1" applyBorder="1">
      <alignment horizontal="left"/>
      <protection/>
    </xf>
    <xf numFmtId="166" fontId="50" fillId="0" borderId="65" xfId="28" applyFont="1" applyFill="1" applyBorder="1">
      <alignment horizontal="left"/>
      <protection/>
    </xf>
    <xf numFmtId="166" fontId="50" fillId="0" borderId="65" xfId="27" applyFont="1" applyFill="1" applyBorder="1">
      <alignment horizontal="left"/>
      <protection/>
    </xf>
    <xf numFmtId="164" fontId="48" fillId="0" borderId="57" xfId="25" applyFont="1" applyFill="1" applyBorder="1">
      <alignment horizontal="left"/>
      <protection/>
    </xf>
    <xf numFmtId="166" fontId="51" fillId="0" borderId="33" xfId="27" applyFont="1" applyFill="1" applyBorder="1">
      <alignment horizontal="left"/>
      <protection/>
    </xf>
    <xf numFmtId="164" fontId="48" fillId="0" borderId="69" xfId="25" applyFont="1" applyFill="1" applyBorder="1">
      <alignment horizontal="left"/>
      <protection/>
    </xf>
    <xf numFmtId="166" fontId="51" fillId="0" borderId="71" xfId="27" applyFont="1" applyFill="1" applyBorder="1">
      <alignment horizontal="left"/>
      <protection/>
    </xf>
    <xf numFmtId="164" fontId="51" fillId="0" borderId="69" xfId="25" applyFont="1" applyFill="1" applyBorder="1">
      <alignment horizontal="left"/>
      <protection/>
    </xf>
    <xf numFmtId="190" fontId="5" fillId="0" borderId="9" xfId="26" applyNumberFormat="1" applyFont="1" applyFill="1" applyBorder="1">
      <alignment/>
      <protection locked="0"/>
    </xf>
    <xf numFmtId="190" fontId="5" fillId="0" borderId="10" xfId="26" applyNumberFormat="1" applyFont="1" applyFill="1" applyBorder="1">
      <alignment/>
      <protection locked="0"/>
    </xf>
    <xf numFmtId="190" fontId="5" fillId="0" borderId="31" xfId="26" applyNumberFormat="1" applyFont="1" applyFill="1" applyBorder="1">
      <alignment/>
      <protection locked="0"/>
    </xf>
    <xf numFmtId="190" fontId="5" fillId="0" borderId="33" xfId="26" applyNumberFormat="1" applyFont="1" applyFill="1" applyBorder="1">
      <alignment/>
      <protection locked="0"/>
    </xf>
    <xf numFmtId="190" fontId="4" fillId="0" borderId="27" xfId="29" applyNumberFormat="1" applyFont="1" applyFill="1" applyBorder="1">
      <alignment/>
      <protection/>
    </xf>
    <xf numFmtId="190" fontId="4" fillId="0" borderId="28" xfId="29" applyNumberFormat="1" applyFont="1" applyFill="1" applyBorder="1">
      <alignment/>
      <protection/>
    </xf>
    <xf numFmtId="190" fontId="4" fillId="0" borderId="48" xfId="29" applyNumberFormat="1" applyFont="1" applyFill="1" applyBorder="1">
      <alignment/>
      <protection/>
    </xf>
    <xf numFmtId="190" fontId="4" fillId="0" borderId="71" xfId="29" applyNumberFormat="1" applyFont="1" applyFill="1" applyBorder="1">
      <alignment/>
      <protection/>
    </xf>
    <xf numFmtId="190" fontId="0" fillId="0" borderId="9" xfId="29" applyNumberFormat="1" applyFont="1" applyFill="1" applyBorder="1">
      <alignment/>
      <protection/>
    </xf>
    <xf numFmtId="190" fontId="0" fillId="0" borderId="10" xfId="29" applyNumberFormat="1" applyFont="1" applyFill="1" applyBorder="1">
      <alignment/>
      <protection/>
    </xf>
    <xf numFmtId="190" fontId="0" fillId="0" borderId="31" xfId="29" applyNumberFormat="1" applyFont="1" applyFill="1" applyBorder="1">
      <alignment/>
      <protection/>
    </xf>
    <xf numFmtId="190" fontId="0" fillId="0" borderId="33" xfId="29" applyNumberFormat="1" applyFont="1" applyFill="1" applyBorder="1">
      <alignment/>
      <protection/>
    </xf>
    <xf numFmtId="190" fontId="5" fillId="0" borderId="23" xfId="26" applyNumberFormat="1" applyFont="1" applyFill="1" applyBorder="1">
      <alignment/>
      <protection locked="0"/>
    </xf>
    <xf numFmtId="190" fontId="5" fillId="0" borderId="24" xfId="26" applyNumberFormat="1" applyFont="1" applyFill="1" applyBorder="1">
      <alignment/>
      <protection locked="0"/>
    </xf>
    <xf numFmtId="190" fontId="5" fillId="0" borderId="32" xfId="26" applyNumberFormat="1" applyFont="1" applyFill="1" applyBorder="1">
      <alignment/>
      <protection locked="0"/>
    </xf>
    <xf numFmtId="190" fontId="5" fillId="0" borderId="60" xfId="26" applyNumberFormat="1" applyFont="1" applyFill="1" applyBorder="1">
      <alignment/>
      <protection locked="0"/>
    </xf>
    <xf numFmtId="190" fontId="5" fillId="0" borderId="37" xfId="26" applyNumberFormat="1" applyFont="1" applyFill="1" applyBorder="1">
      <alignment/>
      <protection locked="0"/>
    </xf>
    <xf numFmtId="190" fontId="5" fillId="0" borderId="1" xfId="26" applyNumberFormat="1" applyFont="1" applyFill="1" applyBorder="1">
      <alignment/>
      <protection locked="0"/>
    </xf>
    <xf numFmtId="190" fontId="5" fillId="0" borderId="30" xfId="26" applyNumberFormat="1" applyFont="1" applyFill="1" applyBorder="1">
      <alignment/>
      <protection locked="0"/>
    </xf>
    <xf numFmtId="190" fontId="5" fillId="0" borderId="67" xfId="26" applyNumberFormat="1" applyFont="1" applyFill="1" applyBorder="1">
      <alignment/>
      <protection locked="0"/>
    </xf>
    <xf numFmtId="190" fontId="0" fillId="0" borderId="9" xfId="26" applyNumberFormat="1" applyFont="1" applyFill="1" applyBorder="1">
      <alignment/>
      <protection locked="0"/>
    </xf>
    <xf numFmtId="190" fontId="0" fillId="0" borderId="10" xfId="26" applyNumberFormat="1" applyFont="1" applyFill="1" applyBorder="1">
      <alignment/>
      <protection locked="0"/>
    </xf>
    <xf numFmtId="190" fontId="0" fillId="0" borderId="31" xfId="26" applyNumberFormat="1" applyFont="1" applyFill="1" applyBorder="1">
      <alignment/>
      <protection locked="0"/>
    </xf>
    <xf numFmtId="190" fontId="0" fillId="0" borderId="33" xfId="26" applyNumberFormat="1" applyFont="1" applyFill="1" applyBorder="1">
      <alignment/>
      <protection locked="0"/>
    </xf>
    <xf numFmtId="190" fontId="0" fillId="0" borderId="23" xfId="26" applyNumberFormat="1" applyFont="1" applyFill="1" applyBorder="1">
      <alignment/>
      <protection locked="0"/>
    </xf>
    <xf numFmtId="190" fontId="0" fillId="0" borderId="24" xfId="26" applyNumberFormat="1" applyFont="1" applyFill="1" applyBorder="1">
      <alignment/>
      <protection locked="0"/>
    </xf>
    <xf numFmtId="190" fontId="0" fillId="0" borderId="32" xfId="26" applyNumberFormat="1" applyFont="1" applyFill="1" applyBorder="1">
      <alignment/>
      <protection locked="0"/>
    </xf>
    <xf numFmtId="190" fontId="0" fillId="0" borderId="60" xfId="26" applyNumberFormat="1" applyFont="1" applyFill="1" applyBorder="1">
      <alignment/>
      <protection locked="0"/>
    </xf>
    <xf numFmtId="190" fontId="4" fillId="0" borderId="16" xfId="29" applyNumberFormat="1" applyFont="1" applyFill="1" applyBorder="1">
      <alignment/>
      <protection/>
    </xf>
    <xf numFmtId="190" fontId="4" fillId="0" borderId="17" xfId="29" applyNumberFormat="1" applyFont="1" applyFill="1" applyBorder="1">
      <alignment/>
      <protection/>
    </xf>
    <xf numFmtId="190" fontId="4" fillId="0" borderId="62" xfId="29" applyNumberFormat="1" applyFont="1" applyFill="1" applyBorder="1">
      <alignment/>
      <protection/>
    </xf>
    <xf numFmtId="190" fontId="4" fillId="0" borderId="36" xfId="29" applyNumberFormat="1" applyFont="1" applyFill="1" applyBorder="1">
      <alignment/>
      <protection/>
    </xf>
    <xf numFmtId="190" fontId="50" fillId="6" borderId="13" xfId="30" applyNumberFormat="1" applyFont="1" applyBorder="1">
      <alignment/>
      <protection/>
    </xf>
    <xf numFmtId="190" fontId="50" fillId="6" borderId="14" xfId="30" applyNumberFormat="1" applyFont="1" applyBorder="1">
      <alignment/>
      <protection/>
    </xf>
    <xf numFmtId="190" fontId="50" fillId="6" borderId="65" xfId="30" applyNumberFormat="1" applyFont="1" applyBorder="1">
      <alignment/>
      <protection/>
    </xf>
    <xf numFmtId="190" fontId="0" fillId="0" borderId="9" xfId="31" applyNumberFormat="1" applyFont="1" applyFill="1" applyBorder="1">
      <alignment/>
      <protection/>
    </xf>
    <xf numFmtId="190" fontId="0" fillId="0" borderId="10" xfId="31" applyNumberFormat="1" applyFont="1" applyFill="1" applyBorder="1">
      <alignment/>
      <protection/>
    </xf>
    <xf numFmtId="190" fontId="0" fillId="0" borderId="33" xfId="31" applyNumberFormat="1" applyFont="1" applyFill="1" applyBorder="1">
      <alignment/>
      <protection/>
    </xf>
    <xf numFmtId="190" fontId="4" fillId="6" borderId="23" xfId="30" applyNumberFormat="1" applyFont="1" applyBorder="1">
      <alignment/>
      <protection/>
    </xf>
    <xf numFmtId="190" fontId="4" fillId="6" borderId="24" xfId="30" applyNumberFormat="1" applyFont="1" applyBorder="1">
      <alignment/>
      <protection/>
    </xf>
    <xf numFmtId="190" fontId="4" fillId="6" borderId="60" xfId="30" applyNumberFormat="1" applyFont="1" applyBorder="1">
      <alignment/>
      <protection/>
    </xf>
    <xf numFmtId="190" fontId="4" fillId="6" borderId="9" xfId="30" applyNumberFormat="1" applyFont="1" applyBorder="1">
      <alignment/>
      <protection/>
    </xf>
    <xf numFmtId="190" fontId="4" fillId="6" borderId="10" xfId="30" applyNumberFormat="1" applyFont="1" applyBorder="1">
      <alignment/>
      <protection/>
    </xf>
    <xf numFmtId="190" fontId="4" fillId="6" borderId="33" xfId="30" applyNumberFormat="1" applyFont="1" applyBorder="1">
      <alignment/>
      <protection/>
    </xf>
    <xf numFmtId="190" fontId="0" fillId="6" borderId="9" xfId="30" applyNumberFormat="1" applyFont="1" applyBorder="1">
      <alignment/>
      <protection/>
    </xf>
    <xf numFmtId="190" fontId="0" fillId="6" borderId="10" xfId="30" applyNumberFormat="1" applyFont="1" applyBorder="1">
      <alignment/>
      <protection/>
    </xf>
    <xf numFmtId="190" fontId="0" fillId="6" borderId="33" xfId="30" applyNumberFormat="1" applyFont="1" applyBorder="1">
      <alignment/>
      <protection/>
    </xf>
    <xf numFmtId="190" fontId="0" fillId="6" borderId="23" xfId="30" applyNumberFormat="1" applyFont="1" applyBorder="1">
      <alignment/>
      <protection/>
    </xf>
    <xf numFmtId="190" fontId="0" fillId="6" borderId="24" xfId="30" applyNumberFormat="1" applyFont="1" applyBorder="1">
      <alignment/>
      <protection/>
    </xf>
    <xf numFmtId="190" fontId="0" fillId="6" borderId="60" xfId="30" applyNumberFormat="1" applyFont="1" applyBorder="1">
      <alignment/>
      <protection/>
    </xf>
    <xf numFmtId="190" fontId="51" fillId="6" borderId="27" xfId="30" applyNumberFormat="1" applyFont="1" applyBorder="1">
      <alignment/>
      <protection/>
    </xf>
    <xf numFmtId="190" fontId="51" fillId="6" borderId="28" xfId="30" applyNumberFormat="1" applyFont="1" applyBorder="1">
      <alignment/>
      <protection/>
    </xf>
    <xf numFmtId="190" fontId="51" fillId="6" borderId="71" xfId="30" applyNumberFormat="1" applyFont="1" applyBorder="1">
      <alignment/>
      <protection/>
    </xf>
    <xf numFmtId="190" fontId="51" fillId="6" borderId="9" xfId="30" applyNumberFormat="1" applyFont="1" applyBorder="1">
      <alignment/>
      <protection/>
    </xf>
    <xf numFmtId="190" fontId="51" fillId="6" borderId="10" xfId="30" applyNumberFormat="1" applyFont="1" applyBorder="1">
      <alignment/>
      <protection/>
    </xf>
    <xf numFmtId="190" fontId="51" fillId="6" borderId="33" xfId="30" applyNumberFormat="1" applyFont="1" applyBorder="1">
      <alignment/>
      <protection/>
    </xf>
    <xf numFmtId="166" fontId="4" fillId="0" borderId="71" xfId="28" applyFont="1" applyFill="1" applyBorder="1">
      <alignment horizontal="left"/>
      <protection/>
    </xf>
    <xf numFmtId="169" fontId="20" fillId="0" borderId="30" xfId="20" applyNumberFormat="1" applyFont="1" applyFill="1" applyBorder="1" applyAlignment="1">
      <alignment/>
    </xf>
    <xf numFmtId="169" fontId="4" fillId="0" borderId="62" xfId="20" applyNumberFormat="1" applyFont="1" applyFill="1" applyBorder="1" applyAlignment="1">
      <alignment/>
    </xf>
    <xf numFmtId="169" fontId="4" fillId="0" borderId="48" xfId="20" applyNumberFormat="1" applyFont="1" applyFill="1" applyBorder="1" applyAlignment="1">
      <alignment/>
    </xf>
    <xf numFmtId="169" fontId="5" fillId="0" borderId="62" xfId="20" applyNumberFormat="1" applyFont="1" applyFill="1" applyBorder="1" applyAlignment="1">
      <alignment/>
    </xf>
    <xf numFmtId="166" fontId="0" fillId="0" borderId="73" xfId="28" applyFont="1" applyFill="1" applyBorder="1">
      <alignment horizontal="left"/>
      <protection/>
    </xf>
    <xf numFmtId="164" fontId="4" fillId="9" borderId="15" xfId="33" applyFont="1" applyFill="1" applyBorder="1">
      <alignment horizontal="center" vertical="center"/>
      <protection/>
    </xf>
    <xf numFmtId="164" fontId="0" fillId="9" borderId="64" xfId="25" applyFont="1" applyFill="1" applyBorder="1">
      <alignment horizontal="left"/>
      <protection/>
    </xf>
    <xf numFmtId="169" fontId="46" fillId="0" borderId="46" xfId="20" applyNumberFormat="1" applyFont="1" applyFill="1" applyBorder="1" applyAlignment="1">
      <alignment/>
    </xf>
    <xf numFmtId="169" fontId="46" fillId="0" borderId="14" xfId="20" applyNumberFormat="1" applyFont="1" applyFill="1" applyBorder="1" applyAlignment="1">
      <alignment/>
    </xf>
    <xf numFmtId="169" fontId="46" fillId="0" borderId="15" xfId="20" applyNumberFormat="1" applyFont="1" applyFill="1" applyBorder="1" applyAlignment="1">
      <alignment/>
    </xf>
    <xf numFmtId="169" fontId="33" fillId="0" borderId="47" xfId="20" applyNumberFormat="1" applyFont="1" applyFill="1" applyBorder="1" applyAlignment="1">
      <alignment/>
    </xf>
    <xf numFmtId="169" fontId="33" fillId="0" borderId="43" xfId="20" applyNumberFormat="1" applyFont="1" applyFill="1" applyBorder="1" applyAlignment="1">
      <alignment/>
    </xf>
    <xf numFmtId="169" fontId="33" fillId="0" borderId="44" xfId="20" applyNumberFormat="1" applyFont="1" applyFill="1" applyBorder="1" applyAlignment="1">
      <alignment/>
    </xf>
    <xf numFmtId="169" fontId="33" fillId="0" borderId="62" xfId="20" applyNumberFormat="1" applyFont="1" applyFill="1" applyBorder="1" applyAlignment="1">
      <alignment/>
    </xf>
    <xf numFmtId="169" fontId="33" fillId="0" borderId="17" xfId="20" applyNumberFormat="1" applyFont="1" applyFill="1" applyBorder="1" applyAlignment="1">
      <alignment/>
    </xf>
    <xf numFmtId="169" fontId="33" fillId="0" borderId="18" xfId="20" applyNumberFormat="1" applyFont="1" applyFill="1" applyBorder="1" applyAlignment="1">
      <alignment/>
    </xf>
    <xf numFmtId="169" fontId="33" fillId="0" borderId="46" xfId="20" applyNumberFormat="1" applyFont="1" applyFill="1" applyBorder="1" applyAlignment="1">
      <alignment/>
    </xf>
    <xf numFmtId="169" fontId="33" fillId="0" borderId="14" xfId="20" applyNumberFormat="1" applyFont="1" applyFill="1" applyBorder="1" applyAlignment="1">
      <alignment/>
    </xf>
    <xf numFmtId="169" fontId="33" fillId="0" borderId="15" xfId="20" applyNumberFormat="1" applyFont="1" applyFill="1" applyBorder="1" applyAlignment="1">
      <alignment/>
    </xf>
    <xf numFmtId="164" fontId="0" fillId="0" borderId="78" xfId="25" applyFont="1" applyFill="1" applyBorder="1">
      <alignment horizontal="left"/>
      <protection/>
    </xf>
    <xf numFmtId="164" fontId="0" fillId="0" borderId="34" xfId="25" applyFont="1" applyFill="1" applyBorder="1">
      <alignment horizontal="left"/>
      <protection/>
    </xf>
    <xf numFmtId="166" fontId="0" fillId="0" borderId="35" xfId="28" applyFont="1" applyFill="1" applyBorder="1">
      <alignment horizontal="left"/>
      <protection/>
    </xf>
    <xf numFmtId="164" fontId="4" fillId="0" borderId="73" xfId="24" applyFont="1" applyFill="1" applyBorder="1">
      <alignment horizontal="left"/>
      <protection/>
    </xf>
    <xf numFmtId="164" fontId="0" fillId="0" borderId="38" xfId="25" applyFont="1" applyFill="1" applyBorder="1">
      <alignment horizontal="left"/>
      <protection/>
    </xf>
    <xf numFmtId="164" fontId="0" fillId="0" borderId="6" xfId="25" applyFont="1" applyFill="1" applyBorder="1">
      <alignment horizontal="left"/>
      <protection/>
    </xf>
    <xf numFmtId="164" fontId="46" fillId="0" borderId="78" xfId="24" applyFont="1" applyFill="1" applyBorder="1">
      <alignment horizontal="left"/>
      <protection/>
    </xf>
    <xf numFmtId="164" fontId="46" fillId="0" borderId="34" xfId="24" applyFont="1" applyFill="1" applyBorder="1">
      <alignment horizontal="left"/>
      <protection/>
    </xf>
    <xf numFmtId="166" fontId="46" fillId="0" borderId="35" xfId="27" applyFont="1" applyFill="1" applyBorder="1">
      <alignment horizontal="left"/>
      <protection/>
    </xf>
    <xf numFmtId="169" fontId="46" fillId="0" borderId="9" xfId="20" applyNumberFormat="1" applyFont="1" applyFill="1" applyBorder="1" applyAlignment="1">
      <alignment/>
    </xf>
    <xf numFmtId="169" fontId="46" fillId="0" borderId="10" xfId="20" applyNumberFormat="1" applyFont="1" applyFill="1" applyBorder="1" applyAlignment="1">
      <alignment/>
    </xf>
    <xf numFmtId="169" fontId="46" fillId="0" borderId="11" xfId="20" applyNumberFormat="1" applyFont="1" applyFill="1" applyBorder="1" applyAlignment="1">
      <alignment/>
    </xf>
    <xf numFmtId="164" fontId="46" fillId="0" borderId="0" xfId="24" applyFont="1" applyFill="1" applyBorder="1">
      <alignment horizontal="left"/>
      <protection/>
    </xf>
    <xf numFmtId="166" fontId="46" fillId="0" borderId="33" xfId="27" applyFont="1" applyFill="1" applyBorder="1">
      <alignment horizontal="left"/>
      <protection/>
    </xf>
    <xf numFmtId="190" fontId="46" fillId="0" borderId="9" xfId="29" applyNumberFormat="1" applyFont="1" applyFill="1" applyBorder="1">
      <alignment/>
      <protection/>
    </xf>
    <xf numFmtId="190" fontId="46" fillId="0" borderId="10" xfId="29" applyNumberFormat="1" applyFont="1" applyFill="1" applyBorder="1">
      <alignment/>
      <protection/>
    </xf>
    <xf numFmtId="190" fontId="46" fillId="0" borderId="31" xfId="29" applyNumberFormat="1" applyFont="1" applyFill="1" applyBorder="1">
      <alignment/>
      <protection/>
    </xf>
    <xf numFmtId="190" fontId="46" fillId="0" borderId="33" xfId="29" applyNumberFormat="1" applyFont="1" applyFill="1" applyBorder="1">
      <alignment/>
      <protection/>
    </xf>
    <xf numFmtId="164" fontId="46" fillId="0" borderId="57" xfId="24" applyFont="1" applyFill="1" applyBorder="1">
      <alignment horizontal="left"/>
      <protection/>
    </xf>
    <xf numFmtId="0" fontId="0" fillId="0" borderId="59" xfId="0" applyBorder="1" applyAlignment="1">
      <alignment/>
    </xf>
    <xf numFmtId="0" fontId="0" fillId="0" borderId="8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69" fontId="0" fillId="0" borderId="11" xfId="2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" fillId="0" borderId="12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36" fillId="0" borderId="19" xfId="0" applyFont="1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9" fontId="0" fillId="0" borderId="37" xfId="20" applyNumberFormat="1" applyBorder="1" applyAlignment="1">
      <alignment/>
    </xf>
    <xf numFmtId="169" fontId="0" fillId="0" borderId="21" xfId="20" applyNumberFormat="1" applyBorder="1" applyAlignment="1">
      <alignment/>
    </xf>
    <xf numFmtId="174" fontId="0" fillId="0" borderId="37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0" fontId="36" fillId="0" borderId="22" xfId="0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169" fontId="0" fillId="0" borderId="28" xfId="20" applyNumberFormat="1" applyBorder="1" applyAlignment="1">
      <alignment/>
    </xf>
    <xf numFmtId="169" fontId="0" fillId="0" borderId="29" xfId="20" applyNumberForma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53" fillId="0" borderId="27" xfId="0" applyNumberFormat="1" applyFont="1" applyBorder="1" applyAlignment="1">
      <alignment/>
    </xf>
    <xf numFmtId="3" fontId="53" fillId="0" borderId="28" xfId="0" applyNumberFormat="1" applyFont="1" applyBorder="1" applyAlignment="1">
      <alignment/>
    </xf>
    <xf numFmtId="3" fontId="53" fillId="0" borderId="29" xfId="0" applyNumberFormat="1" applyFont="1" applyBorder="1" applyAlignment="1">
      <alignment/>
    </xf>
    <xf numFmtId="3" fontId="53" fillId="0" borderId="54" xfId="0" applyNumberFormat="1" applyFont="1" applyBorder="1" applyAlignment="1">
      <alignment/>
    </xf>
    <xf numFmtId="3" fontId="53" fillId="0" borderId="43" xfId="0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10" fontId="36" fillId="0" borderId="13" xfId="0" applyNumberFormat="1" applyFont="1" applyBorder="1" applyAlignment="1">
      <alignment/>
    </xf>
    <xf numFmtId="10" fontId="36" fillId="0" borderId="14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0" fontId="4" fillId="0" borderId="22" xfId="0" applyFont="1" applyBorder="1" applyAlignment="1">
      <alignment/>
    </xf>
    <xf numFmtId="168" fontId="4" fillId="0" borderId="32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4" fillId="0" borderId="46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56" xfId="0" applyNumberFormat="1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47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5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168" fontId="4" fillId="0" borderId="54" xfId="0" applyNumberFormat="1" applyFont="1" applyBorder="1" applyAlignment="1">
      <alignment/>
    </xf>
    <xf numFmtId="168" fontId="4" fillId="0" borderId="44" xfId="0" applyNumberFormat="1" applyFont="1" applyBorder="1" applyAlignment="1">
      <alignment/>
    </xf>
    <xf numFmtId="0" fontId="0" fillId="9" borderId="58" xfId="0" applyFill="1" applyBorder="1" applyAlignment="1">
      <alignment/>
    </xf>
    <xf numFmtId="0" fontId="0" fillId="9" borderId="12" xfId="0" applyFill="1" applyBorder="1" applyAlignment="1">
      <alignment/>
    </xf>
    <xf numFmtId="0" fontId="0" fillId="0" borderId="32" xfId="0" applyBorder="1" applyAlignment="1">
      <alignment/>
    </xf>
    <xf numFmtId="169" fontId="0" fillId="0" borderId="24" xfId="0" applyNumberFormat="1" applyBorder="1" applyAlignment="1">
      <alignment/>
    </xf>
    <xf numFmtId="169" fontId="0" fillId="0" borderId="53" xfId="0" applyNumberFormat="1" applyBorder="1" applyAlignment="1">
      <alignment/>
    </xf>
    <xf numFmtId="169" fontId="53" fillId="0" borderId="23" xfId="0" applyNumberFormat="1" applyFont="1" applyBorder="1" applyAlignment="1">
      <alignment/>
    </xf>
    <xf numFmtId="169" fontId="53" fillId="0" borderId="24" xfId="0" applyNumberFormat="1" applyFont="1" applyBorder="1" applyAlignment="1">
      <alignment/>
    </xf>
    <xf numFmtId="169" fontId="53" fillId="0" borderId="25" xfId="0" applyNumberFormat="1" applyFont="1" applyBorder="1" applyAlignment="1">
      <alignment/>
    </xf>
    <xf numFmtId="166" fontId="0" fillId="0" borderId="58" xfId="28" applyFont="1" applyFill="1" applyBorder="1">
      <alignment horizontal="left"/>
      <protection/>
    </xf>
    <xf numFmtId="0" fontId="0" fillId="0" borderId="68" xfId="0" applyBorder="1" applyAlignment="1">
      <alignment/>
    </xf>
    <xf numFmtId="0" fontId="0" fillId="0" borderId="60" xfId="0" applyBorder="1" applyAlignment="1">
      <alignment/>
    </xf>
    <xf numFmtId="3" fontId="36" fillId="0" borderId="27" xfId="0" applyNumberFormat="1" applyFont="1" applyBorder="1" applyAlignment="1">
      <alignment/>
    </xf>
    <xf numFmtId="3" fontId="36" fillId="0" borderId="28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166" fontId="54" fillId="0" borderId="12" xfId="28" applyFont="1" applyFill="1" applyBorder="1">
      <alignment horizontal="left"/>
      <protection/>
    </xf>
    <xf numFmtId="3" fontId="0" fillId="0" borderId="80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Border="1" applyAlignment="1">
      <alignment/>
    </xf>
    <xf numFmtId="0" fontId="54" fillId="0" borderId="8" xfId="0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39" xfId="0" applyFont="1" applyFill="1" applyBorder="1" applyAlignment="1">
      <alignment/>
    </xf>
    <xf numFmtId="169" fontId="54" fillId="0" borderId="5" xfId="0" applyNumberFormat="1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4" fillId="0" borderId="5" xfId="0" applyFont="1" applyBorder="1" applyAlignment="1">
      <alignment/>
    </xf>
    <xf numFmtId="3" fontId="54" fillId="0" borderId="5" xfId="0" applyNumberFormat="1" applyFont="1" applyBorder="1" applyAlignment="1">
      <alignment/>
    </xf>
    <xf numFmtId="3" fontId="49" fillId="0" borderId="5" xfId="0" applyNumberFormat="1" applyFont="1" applyBorder="1" applyAlignment="1">
      <alignment/>
    </xf>
    <xf numFmtId="169" fontId="54" fillId="0" borderId="30" xfId="20" applyNumberFormat="1" applyFont="1" applyBorder="1" applyAlignment="1">
      <alignment/>
    </xf>
    <xf numFmtId="0" fontId="4" fillId="9" borderId="1" xfId="0" applyFont="1" applyFill="1" applyBorder="1" applyAlignment="1">
      <alignment vertical="top"/>
    </xf>
    <xf numFmtId="0" fontId="4" fillId="9" borderId="39" xfId="0" applyFont="1" applyFill="1" applyBorder="1" applyAlignment="1">
      <alignment vertical="top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/>
    </xf>
    <xf numFmtId="164" fontId="4" fillId="9" borderId="12" xfId="0" applyNumberFormat="1" applyFont="1" applyFill="1" applyBorder="1" applyAlignment="1">
      <alignment/>
    </xf>
    <xf numFmtId="164" fontId="4" fillId="9" borderId="13" xfId="0" applyNumberFormat="1" applyFont="1" applyFill="1" applyBorder="1" applyAlignment="1">
      <alignment/>
    </xf>
    <xf numFmtId="164" fontId="4" fillId="9" borderId="14" xfId="0" applyNumberFormat="1" applyFont="1" applyFill="1" applyBorder="1" applyAlignment="1">
      <alignment/>
    </xf>
    <xf numFmtId="164" fontId="4" fillId="9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8" xfId="0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7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41" xfId="0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53" fillId="0" borderId="54" xfId="0" applyNumberFormat="1" applyFont="1" applyFill="1" applyBorder="1" applyAlignment="1">
      <alignment/>
    </xf>
    <xf numFmtId="3" fontId="53" fillId="0" borderId="43" xfId="0" applyNumberFormat="1" applyFont="1" applyFill="1" applyBorder="1" applyAlignment="1">
      <alignment/>
    </xf>
    <xf numFmtId="3" fontId="53" fillId="0" borderId="44" xfId="0" applyNumberFormat="1" applyFont="1" applyFill="1" applyBorder="1" applyAlignment="1">
      <alignment/>
    </xf>
    <xf numFmtId="3" fontId="53" fillId="0" borderId="37" xfId="0" applyNumberFormat="1" applyFont="1" applyFill="1" applyBorder="1" applyAlignment="1">
      <alignment/>
    </xf>
    <xf numFmtId="3" fontId="53" fillId="0" borderId="1" xfId="0" applyNumberFormat="1" applyFont="1" applyFill="1" applyBorder="1" applyAlignment="1">
      <alignment/>
    </xf>
    <xf numFmtId="3" fontId="53" fillId="0" borderId="21" xfId="0" applyNumberFormat="1" applyFont="1" applyFill="1" applyBorder="1" applyAlignment="1">
      <alignment/>
    </xf>
    <xf numFmtId="1" fontId="4" fillId="9" borderId="12" xfId="32" applyFont="1" applyFill="1" applyBorder="1">
      <alignment horizontal="left"/>
      <protection/>
    </xf>
    <xf numFmtId="164" fontId="4" fillId="9" borderId="12" xfId="33" applyFont="1" applyFill="1" applyBorder="1" applyAlignment="1">
      <alignment horizontal="center" vertical="center"/>
      <protection/>
    </xf>
    <xf numFmtId="164" fontId="4" fillId="9" borderId="13" xfId="0" applyNumberFormat="1" applyFont="1" applyFill="1" applyBorder="1" applyAlignment="1">
      <alignment horizontal="center"/>
    </xf>
    <xf numFmtId="164" fontId="4" fillId="9" borderId="14" xfId="0" applyNumberFormat="1" applyFont="1" applyFill="1" applyBorder="1" applyAlignment="1">
      <alignment horizontal="center"/>
    </xf>
    <xf numFmtId="164" fontId="4" fillId="9" borderId="65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56" fillId="0" borderId="1" xfId="0" applyFont="1" applyBorder="1" applyAlignment="1">
      <alignment horizontal="justify" vertical="center" wrapText="1"/>
    </xf>
    <xf numFmtId="0" fontId="56" fillId="0" borderId="30" xfId="0" applyFont="1" applyBorder="1" applyAlignment="1">
      <alignment horizontal="center" vertical="center" wrapText="1"/>
    </xf>
    <xf numFmtId="9" fontId="56" fillId="0" borderId="30" xfId="0" applyNumberFormat="1" applyFont="1" applyBorder="1" applyAlignment="1">
      <alignment horizontal="right" vertical="center" wrapText="1"/>
    </xf>
    <xf numFmtId="169" fontId="56" fillId="0" borderId="3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right" vertical="center" wrapText="1"/>
    </xf>
    <xf numFmtId="9" fontId="56" fillId="0" borderId="31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horizontal="justify" vertical="center" wrapText="1"/>
    </xf>
    <xf numFmtId="0" fontId="0" fillId="0" borderId="32" xfId="0" applyFont="1" applyBorder="1" applyAlignment="1">
      <alignment vertical="center" wrapText="1"/>
    </xf>
    <xf numFmtId="9" fontId="56" fillId="0" borderId="32" xfId="0" applyNumberFormat="1" applyFont="1" applyBorder="1" applyAlignment="1">
      <alignment horizontal="right" vertical="center" wrapText="1"/>
    </xf>
    <xf numFmtId="0" fontId="56" fillId="0" borderId="32" xfId="0" applyFont="1" applyBorder="1" applyAlignment="1">
      <alignment horizontal="center" vertical="center" wrapText="1"/>
    </xf>
    <xf numFmtId="169" fontId="54" fillId="0" borderId="0" xfId="20" applyNumberFormat="1" applyFont="1" applyBorder="1" applyAlignment="1">
      <alignment/>
    </xf>
    <xf numFmtId="0" fontId="46" fillId="0" borderId="0" xfId="0" applyFont="1" applyAlignment="1">
      <alignment/>
    </xf>
    <xf numFmtId="9" fontId="0" fillId="0" borderId="1" xfId="20" applyBorder="1" applyAlignment="1">
      <alignment/>
    </xf>
    <xf numFmtId="9" fontId="4" fillId="9" borderId="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3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69" fontId="23" fillId="0" borderId="1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69" fontId="0" fillId="0" borderId="4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69" fontId="0" fillId="0" borderId="24" xfId="0" applyNumberFormat="1" applyBorder="1" applyAlignment="1">
      <alignment vertical="center"/>
    </xf>
    <xf numFmtId="9" fontId="0" fillId="0" borderId="24" xfId="0" applyNumberFormat="1" applyBorder="1" applyAlignment="1">
      <alignment vertical="center"/>
    </xf>
    <xf numFmtId="9" fontId="0" fillId="0" borderId="41" xfId="20" applyBorder="1" applyAlignment="1">
      <alignment vertical="center"/>
    </xf>
    <xf numFmtId="0" fontId="58" fillId="0" borderId="1" xfId="0" applyFont="1" applyFill="1" applyBorder="1" applyAlignment="1">
      <alignment horizontal="justify" vertical="center" wrapText="1"/>
    </xf>
    <xf numFmtId="0" fontId="59" fillId="0" borderId="1" xfId="0" applyFont="1" applyBorder="1" applyAlignment="1">
      <alignment vertical="center"/>
    </xf>
    <xf numFmtId="174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0" fontId="25" fillId="0" borderId="10" xfId="20" applyNumberFormat="1" applyBorder="1" applyAlignment="1">
      <alignment/>
    </xf>
    <xf numFmtId="173" fontId="0" fillId="0" borderId="24" xfId="20" applyNumberFormat="1" applyFill="1" applyBorder="1" applyAlignment="1">
      <alignment/>
    </xf>
    <xf numFmtId="0" fontId="26" fillId="0" borderId="50" xfId="0" applyFont="1" applyBorder="1" applyAlignment="1">
      <alignment horizontal="right"/>
    </xf>
    <xf numFmtId="0" fontId="26" fillId="0" borderId="56" xfId="0" applyFont="1" applyBorder="1" applyAlignment="1">
      <alignment/>
    </xf>
    <xf numFmtId="0" fontId="26" fillId="0" borderId="19" xfId="0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8" xfId="0" applyFont="1" applyBorder="1" applyAlignment="1">
      <alignment/>
    </xf>
    <xf numFmtId="0" fontId="0" fillId="10" borderId="52" xfId="0" applyFill="1" applyBorder="1" applyAlignment="1">
      <alignment horizontal="right"/>
    </xf>
    <xf numFmtId="0" fontId="0" fillId="10" borderId="53" xfId="0" applyFill="1" applyBorder="1" applyAlignment="1">
      <alignment horizontal="right"/>
    </xf>
    <xf numFmtId="0" fontId="26" fillId="10" borderId="52" xfId="0" applyFont="1" applyFill="1" applyBorder="1" applyAlignment="1">
      <alignment horizontal="right"/>
    </xf>
    <xf numFmtId="169" fontId="25" fillId="10" borderId="41" xfId="20" applyNumberFormat="1" applyFill="1" applyBorder="1" applyAlignment="1">
      <alignment/>
    </xf>
    <xf numFmtId="169" fontId="25" fillId="10" borderId="10" xfId="20" applyNumberFormat="1" applyFill="1" applyBorder="1" applyAlignment="1">
      <alignment/>
    </xf>
    <xf numFmtId="0" fontId="0" fillId="11" borderId="4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60" fillId="0" borderId="1" xfId="0" applyFont="1" applyBorder="1" applyAlignment="1">
      <alignment/>
    </xf>
    <xf numFmtId="0" fontId="60" fillId="0" borderId="5" xfId="0" applyFont="1" applyBorder="1" applyAlignment="1">
      <alignment/>
    </xf>
    <xf numFmtId="10" fontId="60" fillId="0" borderId="30" xfId="0" applyNumberFormat="1" applyFont="1" applyBorder="1" applyAlignment="1">
      <alignment/>
    </xf>
    <xf numFmtId="0" fontId="0" fillId="9" borderId="64" xfId="0" applyFill="1" applyBorder="1" applyAlignment="1">
      <alignment/>
    </xf>
    <xf numFmtId="0" fontId="26" fillId="9" borderId="13" xfId="0" applyFont="1" applyFill="1" applyBorder="1" applyAlignment="1">
      <alignment horizontal="center" vertical="top" wrapText="1"/>
    </xf>
    <xf numFmtId="0" fontId="26" fillId="9" borderId="14" xfId="0" applyFont="1" applyFill="1" applyBorder="1" applyAlignment="1">
      <alignment horizontal="center" vertical="top" wrapText="1"/>
    </xf>
    <xf numFmtId="0" fontId="26" fillId="9" borderId="35" xfId="0" applyFont="1" applyFill="1" applyBorder="1" applyAlignment="1">
      <alignment horizontal="center" vertical="top" wrapText="1"/>
    </xf>
    <xf numFmtId="0" fontId="26" fillId="9" borderId="12" xfId="0" applyFont="1" applyFill="1" applyBorder="1" applyAlignment="1">
      <alignment vertical="top"/>
    </xf>
    <xf numFmtId="0" fontId="26" fillId="9" borderId="64" xfId="0" applyFont="1" applyFill="1" applyBorder="1" applyAlignment="1">
      <alignment horizontal="center" vertical="top"/>
    </xf>
    <xf numFmtId="0" fontId="28" fillId="9" borderId="14" xfId="0" applyFont="1" applyFill="1" applyBorder="1" applyAlignment="1">
      <alignment horizontal="center" vertical="top" wrapText="1"/>
    </xf>
    <xf numFmtId="0" fontId="28" fillId="9" borderId="35" xfId="0" applyFont="1" applyFill="1" applyBorder="1" applyAlignment="1">
      <alignment horizontal="center" vertical="top" wrapText="1"/>
    </xf>
    <xf numFmtId="0" fontId="26" fillId="9" borderId="12" xfId="0" applyFont="1" applyFill="1" applyBorder="1" applyAlignment="1">
      <alignment vertical="top"/>
    </xf>
    <xf numFmtId="0" fontId="28" fillId="9" borderId="13" xfId="0" applyFont="1" applyFill="1" applyBorder="1" applyAlignment="1">
      <alignment horizontal="center" vertical="top" wrapText="1"/>
    </xf>
    <xf numFmtId="0" fontId="26" fillId="9" borderId="46" xfId="0" applyFont="1" applyFill="1" applyBorder="1" applyAlignment="1">
      <alignment horizontal="center" vertical="top" wrapText="1"/>
    </xf>
    <xf numFmtId="0" fontId="26" fillId="9" borderId="14" xfId="0" applyFont="1" applyFill="1" applyBorder="1" applyAlignment="1">
      <alignment horizontal="center" vertical="top" wrapText="1"/>
    </xf>
    <xf numFmtId="0" fontId="26" fillId="9" borderId="15" xfId="0" applyFont="1" applyFill="1" applyBorder="1" applyAlignment="1">
      <alignment horizontal="center" vertical="top" wrapText="1"/>
    </xf>
    <xf numFmtId="0" fontId="61" fillId="0" borderId="1" xfId="0" applyFont="1" applyBorder="1" applyAlignment="1">
      <alignment/>
    </xf>
    <xf numFmtId="0" fontId="61" fillId="0" borderId="5" xfId="0" applyFont="1" applyBorder="1" applyAlignment="1">
      <alignment/>
    </xf>
    <xf numFmtId="169" fontId="61" fillId="0" borderId="30" xfId="0" applyNumberFormat="1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4" xfId="0" applyFont="1" applyBorder="1" applyAlignment="1">
      <alignment/>
    </xf>
    <xf numFmtId="10" fontId="61" fillId="0" borderId="32" xfId="0" applyNumberFormat="1" applyFont="1" applyBorder="1" applyAlignment="1">
      <alignment/>
    </xf>
    <xf numFmtId="10" fontId="61" fillId="10" borderId="30" xfId="0" applyNumberFormat="1" applyFont="1" applyFill="1" applyBorder="1" applyAlignment="1">
      <alignment/>
    </xf>
    <xf numFmtId="0" fontId="62" fillId="0" borderId="0" xfId="0" applyFont="1" applyAlignment="1">
      <alignment/>
    </xf>
    <xf numFmtId="3" fontId="0" fillId="0" borderId="74" xfId="0" applyNumberFormat="1" applyBorder="1" applyAlignment="1">
      <alignment/>
    </xf>
    <xf numFmtId="0" fontId="4" fillId="0" borderId="53" xfId="0" applyFont="1" applyBorder="1" applyAlignment="1">
      <alignment/>
    </xf>
    <xf numFmtId="169" fontId="0" fillId="0" borderId="4" xfId="0" applyNumberFormat="1" applyBorder="1" applyAlignment="1">
      <alignment/>
    </xf>
    <xf numFmtId="9" fontId="0" fillId="0" borderId="74" xfId="0" applyNumberFormat="1" applyBorder="1" applyAlignment="1">
      <alignment/>
    </xf>
    <xf numFmtId="0" fontId="4" fillId="0" borderId="52" xfId="0" applyFont="1" applyBorder="1" applyAlignment="1">
      <alignment/>
    </xf>
    <xf numFmtId="169" fontId="4" fillId="0" borderId="31" xfId="2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9" borderId="30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3" fontId="4" fillId="9" borderId="1" xfId="0" applyNumberFormat="1" applyFont="1" applyFill="1" applyBorder="1" applyAlignment="1">
      <alignment horizontal="center" vertical="top"/>
    </xf>
    <xf numFmtId="3" fontId="4" fillId="9" borderId="30" xfId="0" applyNumberFormat="1" applyFont="1" applyFill="1" applyBorder="1" applyAlignment="1">
      <alignment horizontal="center" vertical="top"/>
    </xf>
    <xf numFmtId="10" fontId="4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0" fontId="36" fillId="0" borderId="1" xfId="20" applyNumberFormat="1" applyFont="1" applyBorder="1" applyAlignment="1">
      <alignment/>
    </xf>
    <xf numFmtId="10" fontId="36" fillId="0" borderId="24" xfId="2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31" xfId="0" applyNumberFormat="1" applyBorder="1" applyAlignment="1">
      <alignment/>
    </xf>
    <xf numFmtId="0" fontId="23" fillId="0" borderId="53" xfId="0" applyFont="1" applyBorder="1" applyAlignment="1">
      <alignment/>
    </xf>
    <xf numFmtId="0" fontId="23" fillId="0" borderId="4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" fillId="9" borderId="12" xfId="0" applyFont="1" applyFill="1" applyBorder="1" applyAlignment="1">
      <alignment horizontal="right"/>
    </xf>
    <xf numFmtId="0" fontId="4" fillId="9" borderId="73" xfId="0" applyFont="1" applyFill="1" applyBorder="1" applyAlignment="1">
      <alignment/>
    </xf>
    <xf numFmtId="0" fontId="4" fillId="9" borderId="65" xfId="0" applyFont="1" applyFill="1" applyBorder="1" applyAlignment="1">
      <alignment/>
    </xf>
    <xf numFmtId="0" fontId="4" fillId="9" borderId="64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18" xfId="0" applyNumberFormat="1" applyBorder="1" applyAlignment="1">
      <alignment/>
    </xf>
    <xf numFmtId="3" fontId="4" fillId="0" borderId="8" xfId="0" applyNumberFormat="1" applyFont="1" applyFill="1" applyBorder="1" applyAlignment="1">
      <alignment/>
    </xf>
    <xf numFmtId="9" fontId="0" fillId="0" borderId="19" xfId="20" applyBorder="1" applyAlignment="1">
      <alignment/>
    </xf>
    <xf numFmtId="0" fontId="24" fillId="9" borderId="12" xfId="0" applyFont="1" applyFill="1" applyBorder="1" applyAlignment="1">
      <alignment/>
    </xf>
    <xf numFmtId="0" fontId="0" fillId="9" borderId="73" xfId="0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69" fontId="0" fillId="0" borderId="18" xfId="2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0" fillId="0" borderId="51" xfId="0" applyFont="1" applyBorder="1" applyAlignment="1">
      <alignment/>
    </xf>
    <xf numFmtId="0" fontId="10" fillId="0" borderId="7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23" fillId="0" borderId="4" xfId="0" applyNumberFormat="1" applyFont="1" applyBorder="1" applyAlignment="1">
      <alignment/>
    </xf>
    <xf numFmtId="0" fontId="23" fillId="0" borderId="3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4" xfId="0" applyFont="1" applyBorder="1" applyAlignment="1">
      <alignment/>
    </xf>
    <xf numFmtId="10" fontId="0" fillId="0" borderId="51" xfId="0" applyNumberFormat="1" applyFill="1" applyBorder="1" applyAlignment="1">
      <alignment/>
    </xf>
    <xf numFmtId="10" fontId="0" fillId="0" borderId="52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0" fontId="0" fillId="0" borderId="53" xfId="0" applyNumberFormat="1" applyFill="1" applyBorder="1" applyAlignment="1">
      <alignment/>
    </xf>
    <xf numFmtId="169" fontId="10" fillId="0" borderId="51" xfId="2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169" fontId="10" fillId="0" borderId="53" xfId="20" applyNumberFormat="1" applyFont="1" applyBorder="1" applyAlignment="1">
      <alignment/>
    </xf>
    <xf numFmtId="10" fontId="52" fillId="0" borderId="33" xfId="0" applyNumberFormat="1" applyFont="1" applyBorder="1" applyAlignment="1">
      <alignment horizontal="center"/>
    </xf>
    <xf numFmtId="0" fontId="23" fillId="0" borderId="57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9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4" fillId="9" borderId="73" xfId="0" applyFont="1" applyFill="1" applyBorder="1" applyAlignment="1">
      <alignment horizontal="right"/>
    </xf>
    <xf numFmtId="3" fontId="23" fillId="0" borderId="7" xfId="0" applyNumberFormat="1" applyFont="1" applyBorder="1" applyAlignment="1">
      <alignment/>
    </xf>
    <xf numFmtId="0" fontId="0" fillId="0" borderId="32" xfId="0" applyFont="1" applyBorder="1" applyAlignment="1">
      <alignment/>
    </xf>
    <xf numFmtId="10" fontId="23" fillId="0" borderId="33" xfId="0" applyNumberFormat="1" applyFont="1" applyBorder="1" applyAlignment="1">
      <alignment/>
    </xf>
    <xf numFmtId="10" fontId="52" fillId="0" borderId="33" xfId="0" applyNumberFormat="1" applyFont="1" applyBorder="1" applyAlignment="1">
      <alignment/>
    </xf>
    <xf numFmtId="0" fontId="23" fillId="0" borderId="72" xfId="0" applyFont="1" applyBorder="1" applyAlignment="1">
      <alignment/>
    </xf>
    <xf numFmtId="9" fontId="0" fillId="0" borderId="51" xfId="0" applyNumberFormat="1" applyFill="1" applyBorder="1" applyAlignment="1">
      <alignment/>
    </xf>
    <xf numFmtId="9" fontId="0" fillId="0" borderId="53" xfId="0" applyNumberForma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173" fontId="10" fillId="0" borderId="23" xfId="0" applyNumberFormat="1" applyFont="1" applyBorder="1" applyAlignment="1">
      <alignment/>
    </xf>
    <xf numFmtId="173" fontId="10" fillId="0" borderId="24" xfId="0" applyNumberFormat="1" applyFont="1" applyBorder="1" applyAlignment="1">
      <alignment/>
    </xf>
    <xf numFmtId="173" fontId="10" fillId="0" borderId="2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169" fontId="0" fillId="0" borderId="41" xfId="20" applyNumberFormat="1" applyBorder="1" applyAlignment="1">
      <alignment/>
    </xf>
    <xf numFmtId="169" fontId="4" fillId="0" borderId="24" xfId="2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9" borderId="1" xfId="0" applyFont="1" applyFill="1" applyBorder="1" applyAlignment="1">
      <alignment horizontal="right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3" fontId="54" fillId="0" borderId="0" xfId="0" applyNumberFormat="1" applyFont="1" applyAlignment="1">
      <alignment/>
    </xf>
    <xf numFmtId="0" fontId="49" fillId="0" borderId="5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53" xfId="0" applyFont="1" applyBorder="1" applyAlignment="1">
      <alignment/>
    </xf>
    <xf numFmtId="0" fontId="49" fillId="0" borderId="4" xfId="0" applyFont="1" applyBorder="1" applyAlignment="1">
      <alignment/>
    </xf>
    <xf numFmtId="0" fontId="49" fillId="0" borderId="32" xfId="0" applyFont="1" applyBorder="1" applyAlignment="1">
      <alignment/>
    </xf>
    <xf numFmtId="3" fontId="36" fillId="0" borderId="65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174" fontId="0" fillId="0" borderId="52" xfId="0" applyNumberFormat="1" applyBorder="1" applyAlignment="1">
      <alignment/>
    </xf>
    <xf numFmtId="9" fontId="0" fillId="0" borderId="53" xfId="0" applyNumberFormat="1" applyBorder="1" applyAlignment="1">
      <alignment/>
    </xf>
    <xf numFmtId="3" fontId="23" fillId="0" borderId="53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39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9" borderId="1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66" fontId="63" fillId="0" borderId="0" xfId="27" applyFont="1" applyFill="1" applyBorder="1">
      <alignment horizontal="left"/>
      <protection/>
    </xf>
    <xf numFmtId="3" fontId="10" fillId="0" borderId="51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23" fillId="0" borderId="5" xfId="0" applyNumberFormat="1" applyFont="1" applyBorder="1" applyAlignment="1">
      <alignment/>
    </xf>
    <xf numFmtId="169" fontId="23" fillId="0" borderId="1" xfId="0" applyNumberFormat="1" applyFont="1" applyBorder="1" applyAlignment="1">
      <alignment/>
    </xf>
    <xf numFmtId="0" fontId="4" fillId="9" borderId="51" xfId="0" applyFont="1" applyFill="1" applyBorder="1" applyAlignment="1">
      <alignment vertical="center"/>
    </xf>
    <xf numFmtId="0" fontId="4" fillId="9" borderId="41" xfId="0" applyFont="1" applyFill="1" applyBorder="1" applyAlignment="1">
      <alignment vertical="center"/>
    </xf>
    <xf numFmtId="0" fontId="4" fillId="9" borderId="40" xfId="0" applyFont="1" applyFill="1" applyBorder="1" applyAlignment="1">
      <alignment vertical="center"/>
    </xf>
    <xf numFmtId="0" fontId="4" fillId="9" borderId="53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/>
    </xf>
    <xf numFmtId="0" fontId="44" fillId="9" borderId="53" xfId="0" applyFont="1" applyFill="1" applyBorder="1" applyAlignment="1">
      <alignment horizontal="center" vertical="center"/>
    </xf>
    <xf numFmtId="0" fontId="44" fillId="9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8" fillId="0" borderId="0" xfId="18" applyAlignment="1">
      <alignment vertical="center"/>
    </xf>
    <xf numFmtId="0" fontId="18" fillId="0" borderId="30" xfId="18" applyBorder="1" applyAlignment="1">
      <alignment vertical="center"/>
    </xf>
    <xf numFmtId="0" fontId="18" fillId="0" borderId="5" xfId="18" applyBorder="1" applyAlignment="1">
      <alignment vertical="center"/>
    </xf>
    <xf numFmtId="0" fontId="18" fillId="0" borderId="4" xfId="18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66" fillId="0" borderId="56" xfId="0" applyNumberFormat="1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/>
    </xf>
    <xf numFmtId="0" fontId="18" fillId="0" borderId="0" xfId="18" applyAlignment="1">
      <alignment/>
    </xf>
    <xf numFmtId="0" fontId="18" fillId="0" borderId="0" xfId="18" applyAlignment="1">
      <alignment horizontal="right" vertical="top"/>
    </xf>
    <xf numFmtId="0" fontId="23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13" fillId="9" borderId="64" xfId="0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center" vertical="center"/>
    </xf>
    <xf numFmtId="10" fontId="10" fillId="0" borderId="56" xfId="20" applyNumberFormat="1" applyFont="1" applyBorder="1" applyAlignment="1">
      <alignment horizontal="center" vertical="center"/>
    </xf>
    <xf numFmtId="10" fontId="10" fillId="0" borderId="46" xfId="20" applyNumberFormat="1" applyFont="1" applyBorder="1" applyAlignment="1">
      <alignment horizontal="center" vertical="center"/>
    </xf>
    <xf numFmtId="10" fontId="10" fillId="0" borderId="64" xfId="20" applyNumberFormat="1" applyFont="1" applyBorder="1" applyAlignment="1">
      <alignment horizontal="center" vertical="center"/>
    </xf>
    <xf numFmtId="0" fontId="44" fillId="9" borderId="73" xfId="0" applyFont="1" applyFill="1" applyBorder="1" applyAlignment="1">
      <alignment horizontal="center" vertical="top" wrapText="1"/>
    </xf>
    <xf numFmtId="0" fontId="44" fillId="9" borderId="65" xfId="0" applyFont="1" applyFill="1" applyBorder="1" applyAlignment="1">
      <alignment horizontal="center" vertical="top" wrapText="1"/>
    </xf>
    <xf numFmtId="169" fontId="0" fillId="0" borderId="3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9" borderId="30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169" fontId="0" fillId="0" borderId="1" xfId="0" applyNumberForma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67" xfId="0" applyNumberFormat="1" applyBorder="1" applyAlignment="1">
      <alignment horizontal="center"/>
    </xf>
    <xf numFmtId="169" fontId="53" fillId="0" borderId="39" xfId="0" applyNumberFormat="1" applyFont="1" applyBorder="1" applyAlignment="1">
      <alignment horizontal="center"/>
    </xf>
    <xf numFmtId="169" fontId="53" fillId="0" borderId="5" xfId="0" applyNumberFormat="1" applyFont="1" applyBorder="1" applyAlignment="1">
      <alignment horizontal="center"/>
    </xf>
    <xf numFmtId="169" fontId="53" fillId="0" borderId="67" xfId="0" applyNumberFormat="1" applyFont="1" applyBorder="1" applyAlignment="1">
      <alignment horizontal="center"/>
    </xf>
    <xf numFmtId="169" fontId="0" fillId="0" borderId="77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53" fillId="0" borderId="77" xfId="0" applyNumberFormat="1" applyFont="1" applyBorder="1" applyAlignment="1">
      <alignment horizontal="center"/>
    </xf>
    <xf numFmtId="169" fontId="53" fillId="0" borderId="3" xfId="0" applyNumberFormat="1" applyFont="1" applyBorder="1" applyAlignment="1">
      <alignment horizontal="center"/>
    </xf>
    <xf numFmtId="169" fontId="53" fillId="0" borderId="36" xfId="0" applyNumberFormat="1" applyFont="1" applyBorder="1" applyAlignment="1">
      <alignment horizontal="center"/>
    </xf>
    <xf numFmtId="169" fontId="0" fillId="0" borderId="66" xfId="0" applyNumberFormat="1" applyBorder="1" applyAlignment="1">
      <alignment horizontal="center"/>
    </xf>
    <xf numFmtId="169" fontId="0" fillId="0" borderId="63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169" fontId="0" fillId="0" borderId="70" xfId="0" applyNumberFormat="1" applyBorder="1" applyAlignment="1">
      <alignment horizontal="center"/>
    </xf>
    <xf numFmtId="169" fontId="0" fillId="0" borderId="71" xfId="0" applyNumberFormat="1" applyBorder="1" applyAlignment="1">
      <alignment horizontal="center"/>
    </xf>
    <xf numFmtId="169" fontId="54" fillId="0" borderId="69" xfId="0" applyNumberFormat="1" applyFont="1" applyBorder="1" applyAlignment="1">
      <alignment horizontal="center"/>
    </xf>
    <xf numFmtId="169" fontId="54" fillId="0" borderId="70" xfId="0" applyNumberFormat="1" applyFont="1" applyBorder="1" applyAlignment="1">
      <alignment horizontal="center"/>
    </xf>
    <xf numFmtId="169" fontId="54" fillId="0" borderId="71" xfId="0" applyNumberFormat="1" applyFont="1" applyBorder="1" applyAlignment="1">
      <alignment horizontal="center"/>
    </xf>
    <xf numFmtId="169" fontId="54" fillId="0" borderId="64" xfId="20" applyNumberFormat="1" applyFont="1" applyBorder="1" applyAlignment="1">
      <alignment horizontal="center"/>
    </xf>
    <xf numFmtId="169" fontId="54" fillId="0" borderId="73" xfId="20" applyNumberFormat="1" applyFont="1" applyBorder="1" applyAlignment="1">
      <alignment horizontal="center"/>
    </xf>
    <xf numFmtId="169" fontId="54" fillId="0" borderId="65" xfId="20" applyNumberFormat="1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</cellXfs>
  <cellStyles count="2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CisRadku1" xfId="22"/>
    <cellStyle name="STCisRadku2" xfId="23"/>
    <cellStyle name="STCisRadku3" xfId="24"/>
    <cellStyle name="STCisRadku4" xfId="25"/>
    <cellStyle name="STEdit" xfId="26"/>
    <cellStyle name="STNazRadku1" xfId="27"/>
    <cellStyle name="STNazRadku2" xfId="28"/>
    <cellStyle name="STNonEdit" xfId="29"/>
    <cellStyle name="STNonEdit2" xfId="30"/>
    <cellStyle name="STNormální" xfId="31"/>
    <cellStyle name="STPopis1" xfId="32"/>
    <cellStyle name="STPopis2b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Jihočeský kraj - závislost na čase
lineární a polynom</a:t>
            </a:r>
          </a:p>
        </c:rich>
      </c:tx>
      <c:layout>
        <c:manualLayout>
          <c:xMode val="factor"/>
          <c:yMode val="factor"/>
          <c:x val="-0.003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"/>
          <c:w val="0.923"/>
          <c:h val="0.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'6 Vnější potenciál'!$A$5:$A$11</c:f>
              <c:numCache/>
            </c:numRef>
          </c:cat>
          <c:val>
            <c:numRef>
              <c:f>'6 Vnější potenciál'!$H$5:$H$11</c:f>
              <c:numCache/>
            </c:numRef>
          </c:val>
          <c:smooth val="0"/>
        </c:ser>
        <c:axId val="4943755"/>
        <c:axId val="44493796"/>
      </c:line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Trh (mil. Kč)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Jihočeský kraj - závislost na HDP
lineární a polynom</a:t>
            </a:r>
          </a:p>
        </c:rich>
      </c:tx>
      <c:layout>
        <c:manualLayout>
          <c:xMode val="factor"/>
          <c:yMode val="factor"/>
          <c:x val="-0.003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075"/>
          <c:w val="0.92225"/>
          <c:h val="0.7842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 Vnější potenciál'!$B$5:$B$11</c:f>
              <c:numCache/>
            </c:numRef>
          </c:xVal>
          <c:yVal>
            <c:numRef>
              <c:f>'6 Vnější potenciál'!$H$5:$H$11</c:f>
              <c:numCache/>
            </c:numRef>
          </c:yVal>
          <c:smooth val="0"/>
        </c:ser>
        <c:axId val="64899845"/>
        <c:axId val="47227694"/>
      </c:scatterChart>
      <c:valAx>
        <c:axId val="64899845"/>
        <c:scaling>
          <c:orientation val="minMax"/>
          <c:min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Trh (mil. Kč)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27694"/>
        <c:crosses val="autoZero"/>
        <c:crossBetween val="midCat"/>
        <c:dispUnits/>
      </c:val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HDP (mil. Kč)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99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Vývoj tržního podílu podniku UNIPO v čase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Tržby UNIPO'!$A$5:$A$14</c:f>
              <c:numCache/>
            </c:numRef>
          </c:cat>
          <c:val>
            <c:numRef>
              <c:f>'7 Tržby UNIPO'!$D$5:$D$10</c:f>
              <c:numCache/>
            </c:numRef>
          </c:val>
          <c:smooth val="1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Tržní podíl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9525</xdr:rowOff>
    </xdr:from>
    <xdr:to>
      <xdr:col>2</xdr:col>
      <xdr:colOff>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143125" y="2600325"/>
          <a:ext cx="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0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143125" y="4886325"/>
          <a:ext cx="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38100</xdr:rowOff>
    </xdr:from>
    <xdr:to>
      <xdr:col>9</xdr:col>
      <xdr:colOff>657225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353300"/>
        <a:ext cx="5848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41</xdr:row>
      <xdr:rowOff>28575</xdr:rowOff>
    </xdr:from>
    <xdr:to>
      <xdr:col>18</xdr:col>
      <xdr:colOff>647700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5886450" y="7343775"/>
        <a:ext cx="57626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19</xdr:row>
      <xdr:rowOff>76200</xdr:rowOff>
    </xdr:from>
    <xdr:to>
      <xdr:col>8</xdr:col>
      <xdr:colOff>419100</xdr:colOff>
      <xdr:row>21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38600" y="3790950"/>
          <a:ext cx="10477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Tempo růstu trhu 1995 až 2001</a:t>
          </a:r>
        </a:p>
      </xdr:txBody>
    </xdr:sp>
    <xdr:clientData/>
  </xdr:twoCellAnchor>
  <xdr:twoCellAnchor>
    <xdr:from>
      <xdr:col>7</xdr:col>
      <xdr:colOff>666750</xdr:colOff>
      <xdr:row>17</xdr:row>
      <xdr:rowOff>295275</xdr:rowOff>
    </xdr:from>
    <xdr:to>
      <xdr:col>8</xdr:col>
      <xdr:colOff>57150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495800" y="3429000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609600</xdr:colOff>
      <xdr:row>21</xdr:row>
      <xdr:rowOff>57150</xdr:rowOff>
    </xdr:from>
    <xdr:to>
      <xdr:col>17</xdr:col>
      <xdr:colOff>152400</xdr:colOff>
      <xdr:row>24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029700" y="4095750"/>
          <a:ext cx="14382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Zvolená funkce pro prognózu trhu</a:t>
          </a:r>
        </a:p>
      </xdr:txBody>
    </xdr:sp>
    <xdr:clientData/>
  </xdr:twoCellAnchor>
  <xdr:twoCellAnchor>
    <xdr:from>
      <xdr:col>15</xdr:col>
      <xdr:colOff>619125</xdr:colOff>
      <xdr:row>18</xdr:row>
      <xdr:rowOff>47625</xdr:rowOff>
    </xdr:from>
    <xdr:to>
      <xdr:col>15</xdr:col>
      <xdr:colOff>619125</xdr:colOff>
      <xdr:row>21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9725025" y="3600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7</xdr:col>
      <xdr:colOff>838200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0" y="2657475"/>
        <a:ext cx="6534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12</xdr:row>
      <xdr:rowOff>104775</xdr:rowOff>
    </xdr:from>
    <xdr:to>
      <xdr:col>4</xdr:col>
      <xdr:colOff>152400</xdr:colOff>
      <xdr:row>13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086350" y="24384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Dopočet</a:t>
          </a:r>
        </a:p>
      </xdr:txBody>
    </xdr:sp>
    <xdr:clientData/>
  </xdr:twoCellAnchor>
  <xdr:twoCellAnchor>
    <xdr:from>
      <xdr:col>7</xdr:col>
      <xdr:colOff>295275</xdr:colOff>
      <xdr:row>12</xdr:row>
      <xdr:rowOff>95250</xdr:rowOff>
    </xdr:from>
    <xdr:to>
      <xdr:col>8</xdr:col>
      <xdr:colOff>542925</xdr:colOff>
      <xdr:row>13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639175" y="2428875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Odhad</a:t>
          </a:r>
        </a:p>
      </xdr:txBody>
    </xdr:sp>
    <xdr:clientData/>
  </xdr:twoCellAnchor>
  <xdr:twoCellAnchor>
    <xdr:from>
      <xdr:col>1</xdr:col>
      <xdr:colOff>19050</xdr:colOff>
      <xdr:row>13</xdr:row>
      <xdr:rowOff>133350</xdr:rowOff>
    </xdr:from>
    <xdr:to>
      <xdr:col>5</xdr:col>
      <xdr:colOff>762000</xdr:colOff>
      <xdr:row>14</xdr:row>
      <xdr:rowOff>161925</xdr:rowOff>
    </xdr:to>
    <xdr:sp>
      <xdr:nvSpPr>
        <xdr:cNvPr id="3" name="AutoShape 4"/>
        <xdr:cNvSpPr>
          <a:spLocks/>
        </xdr:cNvSpPr>
      </xdr:nvSpPr>
      <xdr:spPr>
        <a:xfrm rot="5400000">
          <a:off x="3619500" y="2667000"/>
          <a:ext cx="3905250" cy="190500"/>
        </a:xfrm>
        <a:prstGeom prst="lef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123825</xdr:rowOff>
    </xdr:from>
    <xdr:to>
      <xdr:col>9</xdr:col>
      <xdr:colOff>771525</xdr:colOff>
      <xdr:row>15</xdr:row>
      <xdr:rowOff>9525</xdr:rowOff>
    </xdr:to>
    <xdr:sp>
      <xdr:nvSpPr>
        <xdr:cNvPr id="4" name="AutoShape 5"/>
        <xdr:cNvSpPr>
          <a:spLocks/>
        </xdr:cNvSpPr>
      </xdr:nvSpPr>
      <xdr:spPr>
        <a:xfrm rot="5400000">
          <a:off x="7562850" y="2657475"/>
          <a:ext cx="3133725" cy="219075"/>
        </a:xfrm>
        <a:prstGeom prst="lef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676275</xdr:colOff>
      <xdr:row>35</xdr:row>
      <xdr:rowOff>76200</xdr:rowOff>
    </xdr:from>
    <xdr:to>
      <xdr:col>4</xdr:col>
      <xdr:colOff>133350</xdr:colOff>
      <xdr:row>36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067300" y="62484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Dopočet</a:t>
          </a:r>
        </a:p>
      </xdr:txBody>
    </xdr:sp>
    <xdr:clientData/>
  </xdr:twoCellAnchor>
  <xdr:twoCellAnchor>
    <xdr:from>
      <xdr:col>7</xdr:col>
      <xdr:colOff>266700</xdr:colOff>
      <xdr:row>35</xdr:row>
      <xdr:rowOff>66675</xdr:rowOff>
    </xdr:from>
    <xdr:to>
      <xdr:col>8</xdr:col>
      <xdr:colOff>523875</xdr:colOff>
      <xdr:row>36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610600" y="6238875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Odhad</a:t>
          </a:r>
        </a:p>
      </xdr:txBody>
    </xdr:sp>
    <xdr:clientData/>
  </xdr:twoCellAnchor>
  <xdr:twoCellAnchor>
    <xdr:from>
      <xdr:col>1</xdr:col>
      <xdr:colOff>19050</xdr:colOff>
      <xdr:row>36</xdr:row>
      <xdr:rowOff>123825</xdr:rowOff>
    </xdr:from>
    <xdr:to>
      <xdr:col>5</xdr:col>
      <xdr:colOff>762000</xdr:colOff>
      <xdr:row>38</xdr:row>
      <xdr:rowOff>0</xdr:rowOff>
    </xdr:to>
    <xdr:sp>
      <xdr:nvSpPr>
        <xdr:cNvPr id="7" name="AutoShape 8"/>
        <xdr:cNvSpPr>
          <a:spLocks/>
        </xdr:cNvSpPr>
      </xdr:nvSpPr>
      <xdr:spPr>
        <a:xfrm rot="5400000">
          <a:off x="3619500" y="6496050"/>
          <a:ext cx="3905250" cy="247650"/>
        </a:xfrm>
        <a:prstGeom prst="lef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114300</xdr:rowOff>
    </xdr:from>
    <xdr:to>
      <xdr:col>9</xdr:col>
      <xdr:colOff>771525</xdr:colOff>
      <xdr:row>38</xdr:row>
      <xdr:rowOff>0</xdr:rowOff>
    </xdr:to>
    <xdr:sp>
      <xdr:nvSpPr>
        <xdr:cNvPr id="8" name="AutoShape 9"/>
        <xdr:cNvSpPr>
          <a:spLocks/>
        </xdr:cNvSpPr>
      </xdr:nvSpPr>
      <xdr:spPr>
        <a:xfrm rot="5400000">
          <a:off x="7562850" y="6486525"/>
          <a:ext cx="3133725" cy="257175"/>
        </a:xfrm>
        <a:prstGeom prst="lef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14</xdr:row>
      <xdr:rowOff>57150</xdr:rowOff>
    </xdr:from>
    <xdr:to>
      <xdr:col>3</xdr:col>
      <xdr:colOff>971550</xdr:colOff>
      <xdr:row>16</xdr:row>
      <xdr:rowOff>142875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124450" y="3162300"/>
          <a:ext cx="13335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Zaokrouhledná hodnota z listu  22-DCF, buňky D64</a:t>
          </a:r>
        </a:p>
      </xdr:txBody>
    </xdr:sp>
    <xdr:clientData/>
  </xdr:twoCellAnchor>
  <xdr:twoCellAnchor>
    <xdr:from>
      <xdr:col>2</xdr:col>
      <xdr:colOff>19050</xdr:colOff>
      <xdr:row>15</xdr:row>
      <xdr:rowOff>95250</xdr:rowOff>
    </xdr:from>
    <xdr:to>
      <xdr:col>2</xdr:col>
      <xdr:colOff>314325</xdr:colOff>
      <xdr:row>15</xdr:row>
      <xdr:rowOff>95250</xdr:rowOff>
    </xdr:to>
    <xdr:sp>
      <xdr:nvSpPr>
        <xdr:cNvPr id="2" name="Line 10"/>
        <xdr:cNvSpPr>
          <a:spLocks/>
        </xdr:cNvSpPr>
      </xdr:nvSpPr>
      <xdr:spPr>
        <a:xfrm flipH="1">
          <a:off x="4819650" y="3429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133350</xdr:rowOff>
    </xdr:from>
    <xdr:to>
      <xdr:col>6</xdr:col>
      <xdr:colOff>523875</xdr:colOff>
      <xdr:row>2</xdr:row>
      <xdr:rowOff>457200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86400" y="333375"/>
          <a:ext cx="2009775" cy="495300"/>
        </a:xfrm>
        <a:prstGeom prst="rect">
          <a:avLst/>
        </a:prstGeom>
        <a:solidFill>
          <a:srgbClr val="CCFFFF"/>
        </a:solidFill>
        <a:ln w="1587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Modrá pole představují vstupní buňky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76200</xdr:rowOff>
    </xdr:from>
    <xdr:to>
      <xdr:col>7</xdr:col>
      <xdr:colOff>590550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0" y="304800"/>
          <a:ext cx="25717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Výsledná tržní hodnota </a:t>
          </a:r>
          <a:r>
            <a:rPr lang="en-US" cap="none" sz="1000" b="0" i="1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(ocenění současného výnosového potenciálu i budoucích růstových příležitostí)</a:t>
          </a:r>
        </a:p>
      </xdr:txBody>
    </xdr:sp>
    <xdr:clientData/>
  </xdr:twoCellAnchor>
  <xdr:twoCellAnchor>
    <xdr:from>
      <xdr:col>4</xdr:col>
      <xdr:colOff>552450</xdr:colOff>
      <xdr:row>4</xdr:row>
      <xdr:rowOff>95250</xdr:rowOff>
    </xdr:from>
    <xdr:to>
      <xdr:col>7</xdr:col>
      <xdr:colOff>609600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0" y="923925"/>
          <a:ext cx="2590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Dolní mez výnosové hodnoty </a:t>
          </a:r>
          <a:r>
            <a:rPr lang="en-US" cap="none" sz="1000" b="0" i="1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(ocenění jen současného výnosového potenciálu)</a:t>
          </a:r>
        </a:p>
      </xdr:txBody>
    </xdr:sp>
    <xdr:clientData/>
  </xdr:twoCellAnchor>
  <xdr:twoCellAnchor>
    <xdr:from>
      <xdr:col>3</xdr:col>
      <xdr:colOff>571500</xdr:colOff>
      <xdr:row>2</xdr:row>
      <xdr:rowOff>161925</xdr:rowOff>
    </xdr:from>
    <xdr:to>
      <xdr:col>4</xdr:col>
      <xdr:colOff>552450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 flipH="1" flipV="1">
          <a:off x="3552825" y="5334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200025</xdr:rowOff>
    </xdr:from>
    <xdr:to>
      <xdr:col>4</xdr:col>
      <xdr:colOff>542925</xdr:colOff>
      <xdr:row>3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3562350" y="571500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533400</xdr:colOff>
      <xdr:row>4</xdr:row>
      <xdr:rowOff>171450</xdr:rowOff>
    </xdr:from>
    <xdr:to>
      <xdr:col>4</xdr:col>
      <xdr:colOff>552450</xdr:colOff>
      <xdr:row>5</xdr:row>
      <xdr:rowOff>123825</xdr:rowOff>
    </xdr:to>
    <xdr:sp>
      <xdr:nvSpPr>
        <xdr:cNvPr id="5" name="Line 5"/>
        <xdr:cNvSpPr>
          <a:spLocks/>
        </xdr:cNvSpPr>
      </xdr:nvSpPr>
      <xdr:spPr>
        <a:xfrm flipH="1" flipV="1">
          <a:off x="3514725" y="1000125"/>
          <a:ext cx="771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47625</xdr:rowOff>
    </xdr:from>
    <xdr:to>
      <xdr:col>7</xdr:col>
      <xdr:colOff>590550</xdr:colOff>
      <xdr:row>11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67200" y="2181225"/>
          <a:ext cx="2590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Dolní mez výsledného ocenění</a:t>
          </a:r>
        </a:p>
      </xdr:txBody>
    </xdr:sp>
    <xdr:clientData/>
  </xdr:twoCellAnchor>
  <xdr:twoCellAnchor>
    <xdr:from>
      <xdr:col>3</xdr:col>
      <xdr:colOff>581025</xdr:colOff>
      <xdr:row>10</xdr:row>
      <xdr:rowOff>152400</xdr:rowOff>
    </xdr:from>
    <xdr:to>
      <xdr:col>4</xdr:col>
      <xdr:colOff>523875</xdr:colOff>
      <xdr:row>10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3562350" y="2286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30</xdr:row>
      <xdr:rowOff>180975</xdr:rowOff>
    </xdr:from>
    <xdr:to>
      <xdr:col>7</xdr:col>
      <xdr:colOff>600075</xdr:colOff>
      <xdr:row>31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276725" y="6057900"/>
          <a:ext cx="2590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 CE"/>
              <a:ea typeface="Arial CE"/>
              <a:cs typeface="Arial CE"/>
            </a:rPr>
            <a:t>Rozdíl mezi tržní a substanční hodnotou</a:t>
          </a:r>
        </a:p>
      </xdr:txBody>
    </xdr:sp>
    <xdr:clientData/>
  </xdr:twoCellAnchor>
  <xdr:twoCellAnchor>
    <xdr:from>
      <xdr:col>3</xdr:col>
      <xdr:colOff>590550</xdr:colOff>
      <xdr:row>31</xdr:row>
      <xdr:rowOff>104775</xdr:rowOff>
    </xdr:from>
    <xdr:to>
      <xdr:col>4</xdr:col>
      <xdr:colOff>533400</xdr:colOff>
      <xdr:row>31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571875" y="6181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6.125" style="593" customWidth="1"/>
    <col min="2" max="2" width="22.00390625" style="593" customWidth="1"/>
    <col min="3" max="3" width="30.25390625" style="593" customWidth="1"/>
    <col min="4" max="4" width="15.875" style="593" customWidth="1"/>
    <col min="5" max="5" width="11.75390625" style="593" customWidth="1"/>
    <col min="6" max="16384" width="9.125" style="593" customWidth="1"/>
  </cols>
  <sheetData>
    <row r="1" spans="1:5" ht="18">
      <c r="A1" s="1255" t="s">
        <v>745</v>
      </c>
      <c r="B1" s="1255"/>
      <c r="C1" s="1255"/>
      <c r="D1" s="1255"/>
      <c r="E1" s="1255"/>
    </row>
    <row r="2" spans="1:4" ht="18">
      <c r="A2" s="1211" t="s">
        <v>746</v>
      </c>
      <c r="B2" s="1209"/>
      <c r="C2" s="1209"/>
      <c r="D2" s="1209"/>
    </row>
    <row r="3" spans="1:4" ht="18">
      <c r="A3" s="1210" t="s">
        <v>747</v>
      </c>
      <c r="B3" s="1209"/>
      <c r="C3" s="1209"/>
      <c r="D3" s="1209"/>
    </row>
    <row r="4" spans="1:4" ht="18">
      <c r="A4" s="1210"/>
      <c r="B4" s="1209"/>
      <c r="C4" s="1209"/>
      <c r="D4" s="1209"/>
    </row>
    <row r="5" spans="1:4" ht="12.75" customHeight="1">
      <c r="A5" s="1244" t="s">
        <v>782</v>
      </c>
      <c r="B5" s="1209"/>
      <c r="C5" s="1209"/>
      <c r="D5" s="1209"/>
    </row>
    <row r="6" spans="1:4" ht="12.75" customHeight="1">
      <c r="A6" s="1244" t="s">
        <v>783</v>
      </c>
      <c r="B6" s="1209"/>
      <c r="C6" s="1209"/>
      <c r="D6" s="1209"/>
    </row>
    <row r="7" spans="1:4" ht="12.75" customHeight="1">
      <c r="A7" s="1244"/>
      <c r="B7" s="1209"/>
      <c r="C7" s="1209"/>
      <c r="D7" s="1209"/>
    </row>
    <row r="8" spans="1:4" ht="13.5" customHeight="1">
      <c r="A8" s="1246" t="s">
        <v>784</v>
      </c>
      <c r="B8" s="1209"/>
      <c r="C8" s="1209"/>
      <c r="D8" s="1209"/>
    </row>
    <row r="9" spans="1:4" ht="13.5" customHeight="1">
      <c r="A9" s="1246" t="s">
        <v>786</v>
      </c>
      <c r="B9" s="1209"/>
      <c r="C9" s="1209"/>
      <c r="D9" s="1209"/>
    </row>
    <row r="10" spans="1:4" ht="13.5" customHeight="1">
      <c r="A10" s="1246" t="s">
        <v>787</v>
      </c>
      <c r="B10" s="1209"/>
      <c r="C10" s="1209"/>
      <c r="D10" s="1209"/>
    </row>
    <row r="11" ht="15">
      <c r="A11" s="1245"/>
    </row>
    <row r="12" spans="1:5" ht="12.75">
      <c r="A12" s="1219" t="s">
        <v>744</v>
      </c>
      <c r="B12" s="1221"/>
      <c r="C12" s="1220" t="s">
        <v>638</v>
      </c>
      <c r="D12" s="1257" t="s">
        <v>763</v>
      </c>
      <c r="E12" s="1258"/>
    </row>
    <row r="13" spans="1:5" ht="12.75">
      <c r="A13" s="1222"/>
      <c r="B13" s="1223"/>
      <c r="C13" s="1224"/>
      <c r="D13" s="1225" t="s">
        <v>754</v>
      </c>
      <c r="E13" s="1226" t="s">
        <v>762</v>
      </c>
    </row>
    <row r="14" ht="12.75">
      <c r="A14" s="1249" t="s">
        <v>633</v>
      </c>
    </row>
    <row r="15" spans="1:6" ht="12.75">
      <c r="A15" s="1207">
        <v>1</v>
      </c>
      <c r="B15" s="1232" t="s">
        <v>610</v>
      </c>
      <c r="C15" s="1250" t="s">
        <v>639</v>
      </c>
      <c r="D15" s="1256" t="s">
        <v>731</v>
      </c>
      <c r="E15" s="1251">
        <v>60</v>
      </c>
      <c r="F15" s="1231"/>
    </row>
    <row r="16" spans="1:6" ht="12.75">
      <c r="A16" s="1207">
        <v>2</v>
      </c>
      <c r="B16" s="1232" t="s">
        <v>611</v>
      </c>
      <c r="C16" s="1250"/>
      <c r="D16" s="1256"/>
      <c r="E16" s="1251"/>
      <c r="F16" s="1231"/>
    </row>
    <row r="17" spans="1:6" ht="12.75">
      <c r="A17" s="1207">
        <v>3</v>
      </c>
      <c r="B17" s="1232" t="s">
        <v>612</v>
      </c>
      <c r="C17" s="1250"/>
      <c r="D17" s="1256"/>
      <c r="E17" s="1251"/>
      <c r="F17" s="1231"/>
    </row>
    <row r="18" spans="1:6" ht="12.75">
      <c r="A18" s="1207">
        <v>4</v>
      </c>
      <c r="B18" s="1232" t="s">
        <v>613</v>
      </c>
      <c r="C18" s="1250"/>
      <c r="D18" s="1256"/>
      <c r="E18" s="1251"/>
      <c r="F18" s="1231"/>
    </row>
    <row r="19" spans="1:6" ht="12.75">
      <c r="A19" s="1207">
        <v>5</v>
      </c>
      <c r="B19" s="1232" t="s">
        <v>614</v>
      </c>
      <c r="C19" s="1250"/>
      <c r="D19" s="1256"/>
      <c r="E19" s="1251"/>
      <c r="F19" s="1231"/>
    </row>
    <row r="20" spans="1:6" ht="25.5">
      <c r="A20" s="1207">
        <v>6</v>
      </c>
      <c r="B20" s="1233" t="s">
        <v>632</v>
      </c>
      <c r="C20" s="1205" t="s">
        <v>637</v>
      </c>
      <c r="D20" s="1256"/>
      <c r="E20" s="1251"/>
      <c r="F20" s="1231"/>
    </row>
    <row r="21" spans="1:5" ht="25.5">
      <c r="A21" s="1208">
        <v>7</v>
      </c>
      <c r="B21" s="1234" t="s">
        <v>198</v>
      </c>
      <c r="C21" s="1205" t="s">
        <v>733</v>
      </c>
      <c r="D21" s="1206" t="s">
        <v>732</v>
      </c>
      <c r="E21" s="1228">
        <v>82</v>
      </c>
    </row>
    <row r="22" spans="1:5" ht="12.75">
      <c r="A22" s="1249" t="s">
        <v>640</v>
      </c>
      <c r="B22" s="690"/>
      <c r="C22" s="689"/>
      <c r="E22" s="1229"/>
    </row>
    <row r="23" spans="1:5" ht="12.75">
      <c r="A23" s="1207">
        <v>8</v>
      </c>
      <c r="B23" s="1232" t="s">
        <v>641</v>
      </c>
      <c r="C23" s="1250" t="s">
        <v>734</v>
      </c>
      <c r="D23" s="1250" t="s">
        <v>735</v>
      </c>
      <c r="E23" s="1252">
        <v>394</v>
      </c>
    </row>
    <row r="24" spans="1:5" ht="12.75">
      <c r="A24" s="1207">
        <v>9</v>
      </c>
      <c r="B24" s="1232" t="s">
        <v>643</v>
      </c>
      <c r="C24" s="1250"/>
      <c r="D24" s="1250"/>
      <c r="E24" s="1253"/>
    </row>
    <row r="25" spans="1:5" ht="12.75">
      <c r="A25" s="1207">
        <v>10</v>
      </c>
      <c r="B25" s="1232" t="s">
        <v>645</v>
      </c>
      <c r="C25" s="1250"/>
      <c r="D25" s="1250"/>
      <c r="E25" s="1254"/>
    </row>
    <row r="26" spans="1:5" ht="12.75">
      <c r="A26" s="1249" t="s">
        <v>646</v>
      </c>
      <c r="B26" s="690"/>
      <c r="C26" s="689"/>
      <c r="E26" s="1229"/>
    </row>
    <row r="27" spans="1:5" ht="12.75">
      <c r="A27" s="1207">
        <v>11</v>
      </c>
      <c r="B27" s="1232" t="s">
        <v>651</v>
      </c>
      <c r="C27" s="1250" t="s">
        <v>655</v>
      </c>
      <c r="D27" s="1256" t="s">
        <v>755</v>
      </c>
      <c r="E27" s="1251">
        <v>97</v>
      </c>
    </row>
    <row r="28" spans="1:5" ht="12.75">
      <c r="A28" s="1207">
        <v>12</v>
      </c>
      <c r="B28" s="1232" t="s">
        <v>652</v>
      </c>
      <c r="C28" s="1250"/>
      <c r="D28" s="1256"/>
      <c r="E28" s="1251"/>
    </row>
    <row r="29" spans="1:5" ht="12.75">
      <c r="A29" s="1207">
        <v>13</v>
      </c>
      <c r="B29" s="1232" t="s">
        <v>653</v>
      </c>
      <c r="C29" s="1250"/>
      <c r="D29" s="1256"/>
      <c r="E29" s="1251"/>
    </row>
    <row r="30" spans="1:5" ht="12.75">
      <c r="A30" s="1207">
        <v>14</v>
      </c>
      <c r="B30" s="1232" t="s">
        <v>654</v>
      </c>
      <c r="C30" s="1250"/>
      <c r="D30" s="1256"/>
      <c r="E30" s="1251"/>
    </row>
    <row r="31" spans="1:5" ht="12.75">
      <c r="A31" s="1207">
        <v>15</v>
      </c>
      <c r="B31" s="1232" t="s">
        <v>659</v>
      </c>
      <c r="C31" s="1205" t="s">
        <v>658</v>
      </c>
      <c r="D31" s="1256"/>
      <c r="E31" s="1251"/>
    </row>
    <row r="32" spans="1:5" ht="12.75">
      <c r="A32" s="1249" t="s">
        <v>674</v>
      </c>
      <c r="B32" s="690"/>
      <c r="C32" s="689"/>
      <c r="E32" s="1229"/>
    </row>
    <row r="33" spans="1:5" ht="25.5">
      <c r="A33" s="1207">
        <v>16</v>
      </c>
      <c r="B33" s="1232" t="s">
        <v>673</v>
      </c>
      <c r="C33" s="1205" t="s">
        <v>675</v>
      </c>
      <c r="D33" s="1011" t="s">
        <v>756</v>
      </c>
      <c r="E33" s="1227">
        <v>122</v>
      </c>
    </row>
    <row r="34" spans="1:5" ht="12.75">
      <c r="A34" s="1249" t="s">
        <v>691</v>
      </c>
      <c r="B34" s="690"/>
      <c r="C34" s="689"/>
      <c r="E34" s="1229"/>
    </row>
    <row r="35" spans="1:5" ht="12.75">
      <c r="A35" s="1207">
        <v>17</v>
      </c>
      <c r="B35" s="1232" t="s">
        <v>692</v>
      </c>
      <c r="C35" s="1205"/>
      <c r="D35" s="1011" t="s">
        <v>736</v>
      </c>
      <c r="E35" s="1227">
        <v>129</v>
      </c>
    </row>
    <row r="36" spans="1:5" ht="12.75">
      <c r="A36" s="1249" t="s">
        <v>677</v>
      </c>
      <c r="B36" s="690"/>
      <c r="C36" s="689"/>
      <c r="E36" s="1229"/>
    </row>
    <row r="37" spans="1:5" ht="25.5">
      <c r="A37" s="1207">
        <v>18</v>
      </c>
      <c r="B37" s="1232" t="s">
        <v>678</v>
      </c>
      <c r="C37" s="1205" t="s">
        <v>679</v>
      </c>
      <c r="D37" s="1011" t="s">
        <v>737</v>
      </c>
      <c r="E37" s="1227">
        <v>136</v>
      </c>
    </row>
    <row r="38" spans="1:5" ht="12.75">
      <c r="A38" s="1249" t="s">
        <v>693</v>
      </c>
      <c r="B38" s="690"/>
      <c r="C38" s="689"/>
      <c r="E38" s="1229"/>
    </row>
    <row r="39" spans="1:5" ht="38.25">
      <c r="A39" s="1207">
        <v>19</v>
      </c>
      <c r="B39" s="1232" t="s">
        <v>765</v>
      </c>
      <c r="C39" s="1205" t="s">
        <v>694</v>
      </c>
      <c r="D39" s="1011" t="s">
        <v>738</v>
      </c>
      <c r="E39" s="1227">
        <v>200</v>
      </c>
    </row>
    <row r="40" spans="1:5" ht="38.25">
      <c r="A40" s="1207">
        <v>20</v>
      </c>
      <c r="B40" s="1232" t="s">
        <v>766</v>
      </c>
      <c r="C40" s="1205" t="s">
        <v>695</v>
      </c>
      <c r="D40" s="1011" t="s">
        <v>739</v>
      </c>
      <c r="E40" s="1227">
        <v>206</v>
      </c>
    </row>
    <row r="41" spans="1:5" ht="12.75">
      <c r="A41" s="1207">
        <v>21</v>
      </c>
      <c r="B41" s="1232" t="s">
        <v>374</v>
      </c>
      <c r="C41" s="1011" t="s">
        <v>700</v>
      </c>
      <c r="D41" s="1011" t="s">
        <v>740</v>
      </c>
      <c r="E41" s="1227">
        <v>218</v>
      </c>
    </row>
    <row r="42" spans="1:5" ht="12.75">
      <c r="A42" s="1249" t="s">
        <v>713</v>
      </c>
      <c r="B42" s="690"/>
      <c r="C42" s="689"/>
      <c r="E42" s="1229"/>
    </row>
    <row r="43" spans="1:5" ht="25.5">
      <c r="A43" s="1207">
        <v>22</v>
      </c>
      <c r="B43" s="1232" t="s">
        <v>714</v>
      </c>
      <c r="C43" s="1205" t="s">
        <v>716</v>
      </c>
      <c r="D43" s="1205" t="s">
        <v>757</v>
      </c>
      <c r="E43" s="1228" t="s">
        <v>764</v>
      </c>
    </row>
    <row r="44" spans="1:5" ht="25.5">
      <c r="A44" s="1207">
        <v>23</v>
      </c>
      <c r="B44" s="1232" t="s">
        <v>375</v>
      </c>
      <c r="C44" s="1205" t="s">
        <v>717</v>
      </c>
      <c r="D44" s="1011" t="s">
        <v>758</v>
      </c>
      <c r="E44" s="1227">
        <v>262</v>
      </c>
    </row>
    <row r="45" spans="1:5" ht="25.5">
      <c r="A45" s="1207">
        <v>24</v>
      </c>
      <c r="B45" s="1232" t="s">
        <v>715</v>
      </c>
      <c r="C45" s="1205" t="s">
        <v>718</v>
      </c>
      <c r="D45" s="1011" t="s">
        <v>741</v>
      </c>
      <c r="E45" s="1227">
        <v>238</v>
      </c>
    </row>
    <row r="46" spans="1:5" ht="12.75">
      <c r="A46" s="1249" t="s">
        <v>728</v>
      </c>
      <c r="B46" s="690"/>
      <c r="C46" s="689"/>
      <c r="E46" s="1229"/>
    </row>
    <row r="47" spans="1:5" ht="12.75">
      <c r="A47" s="1207">
        <v>25</v>
      </c>
      <c r="B47" s="1232" t="s">
        <v>272</v>
      </c>
      <c r="C47" s="1205" t="s">
        <v>729</v>
      </c>
      <c r="D47" s="1011" t="s">
        <v>743</v>
      </c>
      <c r="E47" s="1227">
        <v>340</v>
      </c>
    </row>
    <row r="48" spans="1:5" ht="14.25" customHeight="1">
      <c r="A48" s="1207">
        <v>26</v>
      </c>
      <c r="B48" s="1232" t="s">
        <v>528</v>
      </c>
      <c r="C48" s="1205" t="s">
        <v>730</v>
      </c>
      <c r="D48" s="1011" t="s">
        <v>759</v>
      </c>
      <c r="E48" s="1227">
        <v>347</v>
      </c>
    </row>
    <row r="49" spans="1:5" s="691" customFormat="1" ht="12.75">
      <c r="A49" s="1249" t="s">
        <v>760</v>
      </c>
      <c r="E49" s="1230"/>
    </row>
    <row r="50" spans="1:5" ht="76.5">
      <c r="A50" s="1207">
        <v>27</v>
      </c>
      <c r="B50" s="1232" t="s">
        <v>760</v>
      </c>
      <c r="C50" s="1205" t="s">
        <v>761</v>
      </c>
      <c r="D50" s="1011" t="s">
        <v>742</v>
      </c>
      <c r="E50" s="1227">
        <v>380</v>
      </c>
    </row>
  </sheetData>
  <mergeCells count="11">
    <mergeCell ref="D12:E12"/>
    <mergeCell ref="E15:E20"/>
    <mergeCell ref="E23:E25"/>
    <mergeCell ref="A1:E1"/>
    <mergeCell ref="E27:E31"/>
    <mergeCell ref="C15:C19"/>
    <mergeCell ref="C27:C30"/>
    <mergeCell ref="D15:D20"/>
    <mergeCell ref="D23:D25"/>
    <mergeCell ref="C23:C25"/>
    <mergeCell ref="D27:D31"/>
  </mergeCells>
  <hyperlinks>
    <hyperlink ref="B15" location="'1 Regrese - Čas'!A1" display="Regrese - Čas"/>
    <hyperlink ref="B16" location="'2 Regrese - HDP'!A1" display="Regrese - HDP"/>
    <hyperlink ref="B17" location="'3 Regrese - HDP,MO'!A1" display="Regrese - HDP, MO"/>
    <hyperlink ref="B18" location="'4 Regrese - HDP,Inf'!A1" display="Regrese - HDP,Inf"/>
    <hyperlink ref="B19" location="'5 Regrese - HDP,MO,Inf'!A1" display="Regrese - HDP,MO,Inf"/>
    <hyperlink ref="B20" location="'6 Vnější potenciál'!A1" display="Vnější potenciál"/>
    <hyperlink ref="B21" location="'7 Tržby UNIPO'!A1" display="Tržby UNIPO"/>
    <hyperlink ref="B23" location="'8 Rozvaha'!A1" display="Rozvaha"/>
    <hyperlink ref="B24" location="'9 Výsledovka'!A1" display="Výsledovka"/>
    <hyperlink ref="B25" location="'10 Cash flow'!A1" display="Cash flow"/>
    <hyperlink ref="B27" location="'11 Struktura rozvahy'!A1" display="Struktura rozvahy"/>
    <hyperlink ref="B28" location="'12 Tempo rozvaha'!A1" display="Tempo rozvaha"/>
    <hyperlink ref="B29" location="'13 Struktura výsledovky'!A1" display="Struktura výsledovky"/>
    <hyperlink ref="B30" location="'14 Tempo výsledovka'!A1" display="Tempo výsledovka"/>
    <hyperlink ref="B31" location="'15 Ukazatele'!A1" display="Ukazatele"/>
    <hyperlink ref="B33" location="'16 Generátory'!A1" display="Generátory"/>
    <hyperlink ref="B35" location="'17 Generátory - ocenění'!A1" display="Generátory - ocenění"/>
    <hyperlink ref="B37" location="'18 Plán'!A1" display="Plán"/>
    <hyperlink ref="B39" location="'19 nVK - CAPM'!A1" display="nVK - CAPM"/>
    <hyperlink ref="B40" location="'20 nVK - Stavebnice'!A1" display="nVK - Stavebnice"/>
    <hyperlink ref="B41" location="'21 WACC'!A1" display="WACC"/>
    <hyperlink ref="B43" location="'22 DCF'!A1" display="DCF"/>
    <hyperlink ref="B44" location="'23 EVA'!A1" display="EVA"/>
    <hyperlink ref="B45" location="'24 KČV'!A1" display="KČV"/>
    <hyperlink ref="B47" location="'25 Pohledávka'!A1" display="Pohledávky"/>
    <hyperlink ref="B48" location="'26 Dluhopisy'!A1" display="Dluhopisy"/>
    <hyperlink ref="B50" location="'27 Souhrnné ocenění'!A1" display="Souhrnné ocenění"/>
  </hyperlink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&amp;LMařík, M. a kol.: Metody oceňování podniku - 1. díl, Ekopress 2003&amp;RPříklad UNIPO, a.s.</oddHeader>
    <oddFooter>&amp;C&amp;A&amp;R &amp;"Arial CE,kurzíva"© M. Mařík, P. Maříková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00390625" style="30" customWidth="1"/>
    <col min="2" max="2" width="3.75390625" style="30" customWidth="1"/>
    <col min="3" max="3" width="40.75390625" style="30" customWidth="1"/>
    <col min="4" max="8" width="9.75390625" style="30" bestFit="1" customWidth="1"/>
    <col min="9" max="16384" width="9.125" style="30" customWidth="1"/>
  </cols>
  <sheetData>
    <row r="1" spans="1:9" s="5" customFormat="1" ht="21" customHeight="1">
      <c r="A1" s="740" t="s">
        <v>642</v>
      </c>
      <c r="H1" s="1248" t="s">
        <v>785</v>
      </c>
      <c r="I1" s="30"/>
    </row>
    <row r="2" spans="1:9" s="5" customFormat="1" ht="21" customHeight="1" thickBot="1">
      <c r="A2" s="741" t="s">
        <v>643</v>
      </c>
      <c r="I2" s="30"/>
    </row>
    <row r="3" spans="1:8" ht="13.5" thickBot="1">
      <c r="A3" s="714"/>
      <c r="B3" s="742"/>
      <c r="C3" s="715" t="s">
        <v>236</v>
      </c>
      <c r="D3" s="716">
        <f>výchozí_rok</f>
        <v>1997</v>
      </c>
      <c r="E3" s="717">
        <f>výchozí_rok+1</f>
        <v>1998</v>
      </c>
      <c r="F3" s="743">
        <f>výchozí_rok+2</f>
        <v>1999</v>
      </c>
      <c r="G3" s="717">
        <f>výchozí_rok+3</f>
        <v>2000</v>
      </c>
      <c r="H3" s="718">
        <f>výchozí_rok+4</f>
        <v>2001</v>
      </c>
    </row>
    <row r="4" spans="1:8" ht="12.75">
      <c r="A4" s="225" t="s">
        <v>64</v>
      </c>
      <c r="B4" s="3"/>
      <c r="C4" s="230" t="s">
        <v>65</v>
      </c>
      <c r="D4" s="752">
        <v>1439502</v>
      </c>
      <c r="E4" s="753">
        <v>1766930</v>
      </c>
      <c r="F4" s="754">
        <v>1831618</v>
      </c>
      <c r="G4" s="753">
        <v>1800492</v>
      </c>
      <c r="H4" s="755">
        <v>1894958</v>
      </c>
    </row>
    <row r="5" spans="1:8" ht="12.75">
      <c r="A5" s="225"/>
      <c r="B5" s="3" t="s">
        <v>1</v>
      </c>
      <c r="C5" s="230" t="s">
        <v>66</v>
      </c>
      <c r="D5" s="752">
        <v>1214542</v>
      </c>
      <c r="E5" s="753">
        <v>1528764</v>
      </c>
      <c r="F5" s="754">
        <v>1591500</v>
      </c>
      <c r="G5" s="753">
        <v>1549740</v>
      </c>
      <c r="H5" s="755">
        <v>1631536</v>
      </c>
    </row>
    <row r="6" spans="1:8" s="73" customFormat="1" ht="13.5" thickBot="1">
      <c r="A6" s="244" t="s">
        <v>67</v>
      </c>
      <c r="B6" s="245"/>
      <c r="C6" s="246" t="s">
        <v>68</v>
      </c>
      <c r="D6" s="756">
        <f>D4-D5</f>
        <v>224960</v>
      </c>
      <c r="E6" s="757">
        <f>E4-E5</f>
        <v>238166</v>
      </c>
      <c r="F6" s="758">
        <f>F4-F5</f>
        <v>240118</v>
      </c>
      <c r="G6" s="757">
        <f>G4-G5</f>
        <v>250752</v>
      </c>
      <c r="H6" s="759">
        <f>H4-H5</f>
        <v>263422</v>
      </c>
    </row>
    <row r="7" spans="1:8" ht="12.75">
      <c r="A7" s="225"/>
      <c r="B7" s="3" t="s">
        <v>69</v>
      </c>
      <c r="C7" s="230" t="s">
        <v>70</v>
      </c>
      <c r="D7" s="752">
        <v>29472</v>
      </c>
      <c r="E7" s="753">
        <v>29061</v>
      </c>
      <c r="F7" s="754">
        <v>25131</v>
      </c>
      <c r="G7" s="753">
        <v>27811</v>
      </c>
      <c r="H7" s="755">
        <v>31198</v>
      </c>
    </row>
    <row r="8" spans="1:8" s="73" customFormat="1" ht="13.5" thickBot="1">
      <c r="A8" s="244" t="s">
        <v>67</v>
      </c>
      <c r="B8" s="245"/>
      <c r="C8" s="246" t="s">
        <v>71</v>
      </c>
      <c r="D8" s="756">
        <f>D6-D7</f>
        <v>195488</v>
      </c>
      <c r="E8" s="757">
        <f>E6-E7</f>
        <v>209105</v>
      </c>
      <c r="F8" s="758">
        <f>F6-F7</f>
        <v>214987</v>
      </c>
      <c r="G8" s="757">
        <f>G6-G7</f>
        <v>222941</v>
      </c>
      <c r="H8" s="759">
        <f>H6-H7</f>
        <v>232224</v>
      </c>
    </row>
    <row r="9" spans="1:8" ht="12.75">
      <c r="A9" s="225"/>
      <c r="B9" s="3" t="s">
        <v>19</v>
      </c>
      <c r="C9" s="230" t="s">
        <v>72</v>
      </c>
      <c r="D9" s="760">
        <f>SUM(D10:D11)</f>
        <v>113854</v>
      </c>
      <c r="E9" s="761">
        <f>SUM(E10:E11)</f>
        <v>118548</v>
      </c>
      <c r="F9" s="762">
        <f>SUM(F10:F11)</f>
        <v>123054</v>
      </c>
      <c r="G9" s="761">
        <f>SUM(G10:G11)</f>
        <v>125664</v>
      </c>
      <c r="H9" s="763">
        <f>SUM(H10:H11)</f>
        <v>129686</v>
      </c>
    </row>
    <row r="10" spans="1:8" ht="12.75">
      <c r="A10" s="225"/>
      <c r="B10" s="3" t="s">
        <v>73</v>
      </c>
      <c r="C10" s="230" t="s">
        <v>74</v>
      </c>
      <c r="D10" s="752">
        <v>84820</v>
      </c>
      <c r="E10" s="753">
        <v>88386</v>
      </c>
      <c r="F10" s="754">
        <v>91760</v>
      </c>
      <c r="G10" s="753">
        <v>93648</v>
      </c>
      <c r="H10" s="755">
        <v>96494</v>
      </c>
    </row>
    <row r="11" spans="1:8" ht="12.75">
      <c r="A11" s="238"/>
      <c r="B11" s="2" t="s">
        <v>75</v>
      </c>
      <c r="C11" s="239" t="s">
        <v>456</v>
      </c>
      <c r="D11" s="764">
        <v>29034</v>
      </c>
      <c r="E11" s="765">
        <v>30162</v>
      </c>
      <c r="F11" s="766">
        <v>31294</v>
      </c>
      <c r="G11" s="765">
        <v>32016</v>
      </c>
      <c r="H11" s="767">
        <v>33192</v>
      </c>
    </row>
    <row r="12" spans="1:8" ht="12.75">
      <c r="A12" s="247"/>
      <c r="B12" s="6" t="s">
        <v>35</v>
      </c>
      <c r="C12" s="248" t="s">
        <v>76</v>
      </c>
      <c r="D12" s="768">
        <v>5230</v>
      </c>
      <c r="E12" s="769">
        <v>4326</v>
      </c>
      <c r="F12" s="770">
        <v>5404</v>
      </c>
      <c r="G12" s="769">
        <v>6938</v>
      </c>
      <c r="H12" s="771">
        <v>4110</v>
      </c>
    </row>
    <row r="13" spans="1:8" ht="12.75">
      <c r="A13" s="247"/>
      <c r="B13" s="6" t="s">
        <v>77</v>
      </c>
      <c r="C13" s="248" t="s">
        <v>457</v>
      </c>
      <c r="D13" s="768">
        <v>24292</v>
      </c>
      <c r="E13" s="769">
        <v>23096</v>
      </c>
      <c r="F13" s="770">
        <v>36640</v>
      </c>
      <c r="G13" s="769">
        <v>36310</v>
      </c>
      <c r="H13" s="771">
        <v>35372</v>
      </c>
    </row>
    <row r="14" spans="1:8" ht="12.75">
      <c r="A14" s="225" t="s">
        <v>78</v>
      </c>
      <c r="B14" s="3"/>
      <c r="C14" s="230" t="s">
        <v>458</v>
      </c>
      <c r="D14" s="772">
        <v>0</v>
      </c>
      <c r="E14" s="773">
        <v>0</v>
      </c>
      <c r="F14" s="774">
        <v>0</v>
      </c>
      <c r="G14" s="773">
        <v>15370</v>
      </c>
      <c r="H14" s="775">
        <v>0</v>
      </c>
    </row>
    <row r="15" spans="1:8" ht="12.75">
      <c r="A15" s="238"/>
      <c r="B15" s="2" t="s">
        <v>79</v>
      </c>
      <c r="C15" s="239" t="s">
        <v>459</v>
      </c>
      <c r="D15" s="776">
        <v>0</v>
      </c>
      <c r="E15" s="777">
        <v>0</v>
      </c>
      <c r="F15" s="778">
        <v>0</v>
      </c>
      <c r="G15" s="777">
        <v>6656</v>
      </c>
      <c r="H15" s="779">
        <v>0</v>
      </c>
    </row>
    <row r="16" spans="1:14" ht="12.75">
      <c r="A16" s="225"/>
      <c r="B16" s="3" t="s">
        <v>80</v>
      </c>
      <c r="C16" s="230" t="s">
        <v>462</v>
      </c>
      <c r="D16" s="772">
        <v>606</v>
      </c>
      <c r="E16" s="773">
        <v>-3810</v>
      </c>
      <c r="F16" s="774">
        <v>-5604</v>
      </c>
      <c r="G16" s="773">
        <v>5438</v>
      </c>
      <c r="H16" s="775">
        <v>-1094</v>
      </c>
      <c r="I16" s="712"/>
      <c r="J16" s="712"/>
      <c r="K16" s="712"/>
      <c r="L16" s="712"/>
      <c r="M16" s="712"/>
      <c r="N16" s="712"/>
    </row>
    <row r="17" spans="1:8" s="73" customFormat="1" ht="13.5" thickBot="1">
      <c r="A17" s="244" t="s">
        <v>82</v>
      </c>
      <c r="B17" s="245"/>
      <c r="C17" s="246" t="s">
        <v>83</v>
      </c>
      <c r="D17" s="756">
        <f>D8-D9-D12-D13+D14-D15+D16</f>
        <v>52718</v>
      </c>
      <c r="E17" s="757">
        <f>E8-E9-E12-E13+E14-E15+E16</f>
        <v>59325</v>
      </c>
      <c r="F17" s="758">
        <f>F8-F9-F12-F13+F14-F15+F16</f>
        <v>44285</v>
      </c>
      <c r="G17" s="757">
        <f>G8-G9-G12-G13+G14-G15+G16</f>
        <v>68181</v>
      </c>
      <c r="H17" s="759">
        <f>H8-H9-H12-H13+H14-H15+H16</f>
        <v>61962</v>
      </c>
    </row>
    <row r="18" spans="1:8" ht="12.75">
      <c r="A18" s="225" t="s">
        <v>81</v>
      </c>
      <c r="B18" s="3"/>
      <c r="C18" s="230" t="s">
        <v>84</v>
      </c>
      <c r="D18" s="772">
        <f>('8 Rozvaha'!D13*0.05)</f>
        <v>63.7</v>
      </c>
      <c r="E18" s="773">
        <f>('8 Rozvaha'!D13*0.05)</f>
        <v>63.7</v>
      </c>
      <c r="F18" s="774">
        <f>('8 Rozvaha'!E13*0.05)</f>
        <v>63.7</v>
      </c>
      <c r="G18" s="773">
        <f>('8 Rozvaha'!F13*0.05)</f>
        <v>63.7</v>
      </c>
      <c r="H18" s="775">
        <f>('8 Rozvaha'!G13*0.05)</f>
        <v>63.7</v>
      </c>
    </row>
    <row r="19" spans="1:8" ht="12.75">
      <c r="A19" s="225" t="s">
        <v>85</v>
      </c>
      <c r="B19" s="3"/>
      <c r="C19" s="230" t="s">
        <v>87</v>
      </c>
      <c r="D19" s="772">
        <v>545</v>
      </c>
      <c r="E19" s="773">
        <f>'8 Rozvaha'!C23*0.06</f>
        <v>772.0619999999972</v>
      </c>
      <c r="F19" s="774">
        <f>'8 Rozvaha'!D23*0.05</f>
        <v>1221.7230999999979</v>
      </c>
      <c r="G19" s="773">
        <f>'8 Rozvaha'!E23*0.03</f>
        <v>553.2265529999986</v>
      </c>
      <c r="H19" s="775">
        <f>'8 Rozvaha'!F23*0.02</f>
        <v>422.73623305999905</v>
      </c>
    </row>
    <row r="20" spans="1:13" ht="12.75">
      <c r="A20" s="225"/>
      <c r="B20" s="3" t="s">
        <v>88</v>
      </c>
      <c r="C20" s="230" t="s">
        <v>89</v>
      </c>
      <c r="D20" s="772">
        <v>23068</v>
      </c>
      <c r="E20" s="773">
        <v>23562</v>
      </c>
      <c r="F20" s="774">
        <v>21468</v>
      </c>
      <c r="G20" s="773">
        <v>15658</v>
      </c>
      <c r="H20" s="775">
        <v>14036</v>
      </c>
      <c r="I20" s="348"/>
      <c r="J20" s="348"/>
      <c r="K20" s="348"/>
      <c r="L20" s="348"/>
      <c r="M20" s="348"/>
    </row>
    <row r="21" spans="1:8" s="73" customFormat="1" ht="13.5" thickBot="1">
      <c r="A21" s="244" t="s">
        <v>82</v>
      </c>
      <c r="B21" s="245"/>
      <c r="C21" s="246" t="s">
        <v>90</v>
      </c>
      <c r="D21" s="756">
        <f>D18+D19-D20</f>
        <v>-22459.3</v>
      </c>
      <c r="E21" s="757">
        <f>E18+E19-E20</f>
        <v>-22726.238</v>
      </c>
      <c r="F21" s="758">
        <f>F18+F19-F20</f>
        <v>-20182.576900000004</v>
      </c>
      <c r="G21" s="757">
        <f>G18+G19-G20</f>
        <v>-15041.073447</v>
      </c>
      <c r="H21" s="759">
        <f>H18+H19-H20</f>
        <v>-13549.56376694</v>
      </c>
    </row>
    <row r="22" spans="1:8" ht="12.75">
      <c r="A22" s="225"/>
      <c r="B22" s="3" t="s">
        <v>463</v>
      </c>
      <c r="C22" s="230" t="s">
        <v>92</v>
      </c>
      <c r="D22" s="772">
        <v>5460</v>
      </c>
      <c r="E22" s="773">
        <v>10582</v>
      </c>
      <c r="F22" s="774">
        <v>6946</v>
      </c>
      <c r="G22" s="773">
        <v>13352</v>
      </c>
      <c r="H22" s="775">
        <v>12026</v>
      </c>
    </row>
    <row r="23" spans="1:8" s="73" customFormat="1" ht="13.5" thickBot="1">
      <c r="A23" s="244" t="s">
        <v>93</v>
      </c>
      <c r="B23" s="245"/>
      <c r="C23" s="246" t="s">
        <v>94</v>
      </c>
      <c r="D23" s="756">
        <f>D17+D21-D22</f>
        <v>24798.7</v>
      </c>
      <c r="E23" s="757">
        <f>E17+E21-E22</f>
        <v>26016.762000000002</v>
      </c>
      <c r="F23" s="758">
        <f>F17+F21-F22</f>
        <v>17156.423099999996</v>
      </c>
      <c r="G23" s="757">
        <f>G17+G21-G22</f>
        <v>39787.926553</v>
      </c>
      <c r="H23" s="759">
        <f>H17+H21-H22</f>
        <v>36386.43623306</v>
      </c>
    </row>
    <row r="24" spans="1:8" ht="12.75">
      <c r="A24" s="225" t="s">
        <v>86</v>
      </c>
      <c r="B24" s="3"/>
      <c r="C24" s="230" t="s">
        <v>95</v>
      </c>
      <c r="D24" s="772">
        <v>6238</v>
      </c>
      <c r="E24" s="773">
        <v>7320</v>
      </c>
      <c r="F24" s="774">
        <v>2172</v>
      </c>
      <c r="G24" s="773">
        <v>5262</v>
      </c>
      <c r="H24" s="775">
        <v>4618</v>
      </c>
    </row>
    <row r="25" spans="1:8" ht="12.75">
      <c r="A25" s="225"/>
      <c r="B25" s="3" t="s">
        <v>91</v>
      </c>
      <c r="C25" s="230" t="s">
        <v>97</v>
      </c>
      <c r="D25" s="772">
        <v>5756</v>
      </c>
      <c r="E25" s="773">
        <v>7456</v>
      </c>
      <c r="F25" s="774">
        <v>7978</v>
      </c>
      <c r="G25" s="773">
        <v>8230</v>
      </c>
      <c r="H25" s="775">
        <v>2256</v>
      </c>
    </row>
    <row r="26" spans="1:8" ht="12.75">
      <c r="A26" s="225"/>
      <c r="B26" s="3" t="s">
        <v>96</v>
      </c>
      <c r="C26" s="230" t="s">
        <v>98</v>
      </c>
      <c r="D26" s="772">
        <v>42</v>
      </c>
      <c r="E26" s="773">
        <v>0</v>
      </c>
      <c r="F26" s="774">
        <v>0</v>
      </c>
      <c r="G26" s="773">
        <v>102</v>
      </c>
      <c r="H26" s="775">
        <v>498</v>
      </c>
    </row>
    <row r="27" spans="1:8" s="73" customFormat="1" ht="13.5" thickBot="1">
      <c r="A27" s="244" t="s">
        <v>82</v>
      </c>
      <c r="B27" s="245"/>
      <c r="C27" s="246" t="s">
        <v>99</v>
      </c>
      <c r="D27" s="756">
        <f>D24-D25-D26</f>
        <v>440</v>
      </c>
      <c r="E27" s="757">
        <f>E24-E25-E26</f>
        <v>-136</v>
      </c>
      <c r="F27" s="758">
        <f>F24-F25-F26</f>
        <v>-5806</v>
      </c>
      <c r="G27" s="757">
        <f>G24-G25-G26</f>
        <v>-3070</v>
      </c>
      <c r="H27" s="759">
        <f>H24-H25-H26</f>
        <v>1864</v>
      </c>
    </row>
    <row r="28" spans="1:8" s="73" customFormat="1" ht="12.75">
      <c r="A28" s="846" t="s">
        <v>100</v>
      </c>
      <c r="B28" s="840"/>
      <c r="C28" s="841" t="s">
        <v>460</v>
      </c>
      <c r="D28" s="842">
        <f>D23+D27</f>
        <v>25238.7</v>
      </c>
      <c r="E28" s="843">
        <f>E23+E27</f>
        <v>25880.762000000002</v>
      </c>
      <c r="F28" s="844">
        <f>F23+F27</f>
        <v>11350.423099999996</v>
      </c>
      <c r="G28" s="843">
        <f>G23+G27</f>
        <v>36717.926553</v>
      </c>
      <c r="H28" s="845">
        <f>H23+H27</f>
        <v>38250.43623306</v>
      </c>
    </row>
    <row r="29" spans="1:8" s="73" customFormat="1" ht="13.5" thickBot="1">
      <c r="A29" s="226"/>
      <c r="B29" s="242"/>
      <c r="C29" s="243" t="s">
        <v>461</v>
      </c>
      <c r="D29" s="780">
        <f>D17+D21+D24-D25</f>
        <v>30740.699999999997</v>
      </c>
      <c r="E29" s="781">
        <f>E17+E21+E24-E25</f>
        <v>36462.762</v>
      </c>
      <c r="F29" s="782">
        <f>F17+F21+F24-F25</f>
        <v>18296.423099999996</v>
      </c>
      <c r="G29" s="781">
        <f>G17+G21+G24-G25</f>
        <v>50171.926553</v>
      </c>
      <c r="H29" s="783">
        <f>H17+H21+H24-H25</f>
        <v>50774.43623306</v>
      </c>
    </row>
    <row r="32" spans="3:8" ht="12.75">
      <c r="C32" s="82"/>
      <c r="D32" s="712"/>
      <c r="E32" s="712"/>
      <c r="F32" s="712"/>
      <c r="G32" s="712"/>
      <c r="H32" s="712"/>
    </row>
    <row r="33" spans="3:8" ht="12.75">
      <c r="C33" s="82"/>
      <c r="D33" s="712"/>
      <c r="E33" s="712"/>
      <c r="F33" s="712"/>
      <c r="G33" s="712"/>
      <c r="H33" s="712"/>
    </row>
    <row r="34" spans="3:8" ht="12.75">
      <c r="C34" s="82"/>
      <c r="D34" s="712"/>
      <c r="E34" s="712"/>
      <c r="F34" s="712"/>
      <c r="G34" s="712"/>
      <c r="H34" s="712"/>
    </row>
    <row r="35" spans="3:8" ht="12.75">
      <c r="C35" s="82"/>
      <c r="D35" s="712"/>
      <c r="E35" s="712"/>
      <c r="F35" s="712"/>
      <c r="G35" s="712"/>
      <c r="H35" s="712"/>
    </row>
    <row r="37" spans="3:8" ht="12.75">
      <c r="C37" s="82"/>
      <c r="D37" s="712"/>
      <c r="E37" s="712"/>
      <c r="F37" s="712"/>
      <c r="G37" s="712"/>
      <c r="H37" s="712"/>
    </row>
  </sheetData>
  <hyperlinks>
    <hyperlink ref="H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30" bestFit="1" customWidth="1"/>
    <col min="2" max="2" width="50.375" style="30" customWidth="1"/>
    <col min="3" max="16384" width="9.125" style="31" customWidth="1"/>
  </cols>
  <sheetData>
    <row r="1" spans="1:9" s="5" customFormat="1" ht="21" customHeight="1">
      <c r="A1" s="740" t="s">
        <v>642</v>
      </c>
      <c r="F1" s="1248" t="s">
        <v>785</v>
      </c>
      <c r="I1" s="30"/>
    </row>
    <row r="2" spans="1:9" s="5" customFormat="1" ht="21" customHeight="1" thickBot="1">
      <c r="A2" s="741" t="s">
        <v>644</v>
      </c>
      <c r="I2" s="30"/>
    </row>
    <row r="3" spans="1:6" ht="13.5" thickBot="1">
      <c r="A3" s="714"/>
      <c r="B3" s="715" t="s">
        <v>236</v>
      </c>
      <c r="C3" s="716">
        <f>výchozí_rok+1</f>
        <v>1998</v>
      </c>
      <c r="D3" s="717">
        <f>výchozí_rok+2</f>
        <v>1999</v>
      </c>
      <c r="E3" s="717">
        <f>výchozí_rok+3</f>
        <v>2000</v>
      </c>
      <c r="F3" s="718">
        <f>výchozí_rok+4</f>
        <v>2001</v>
      </c>
    </row>
    <row r="4" spans="1:6" ht="13.5" thickBot="1">
      <c r="A4" s="744"/>
      <c r="B4" s="745" t="s">
        <v>101</v>
      </c>
      <c r="C4" s="784">
        <f>'8 Rozvaha'!C23</f>
        <v>12867.699999999953</v>
      </c>
      <c r="D4" s="785">
        <f>C33</f>
        <v>24434.461999999956</v>
      </c>
      <c r="E4" s="785">
        <f>D33</f>
        <v>18440.885099999956</v>
      </c>
      <c r="F4" s="786">
        <f>E33</f>
        <v>21136.811652999953</v>
      </c>
    </row>
    <row r="5" spans="1:6" ht="12.75">
      <c r="A5" s="223" t="s">
        <v>103</v>
      </c>
      <c r="B5" s="228" t="s">
        <v>143</v>
      </c>
      <c r="C5" s="787"/>
      <c r="D5" s="788"/>
      <c r="E5" s="788"/>
      <c r="F5" s="789"/>
    </row>
    <row r="6" spans="1:6" s="86" customFormat="1" ht="12.75">
      <c r="A6" s="240" t="s">
        <v>102</v>
      </c>
      <c r="B6" s="241" t="s">
        <v>464</v>
      </c>
      <c r="C6" s="790">
        <f>'9 Výsledovka'!E28</f>
        <v>25880.762000000002</v>
      </c>
      <c r="D6" s="791">
        <f>'9 Výsledovka'!F28</f>
        <v>11350.423099999996</v>
      </c>
      <c r="E6" s="791">
        <f>'9 Výsledovka'!G28</f>
        <v>36717.926553</v>
      </c>
      <c r="F6" s="792">
        <f>'9 Výsledovka'!H28</f>
        <v>38250.43623306</v>
      </c>
    </row>
    <row r="7" spans="1:6" s="86" customFormat="1" ht="12.75">
      <c r="A7" s="224" t="s">
        <v>104</v>
      </c>
      <c r="B7" s="229" t="s">
        <v>105</v>
      </c>
      <c r="C7" s="793">
        <f>SUM(C8:C10)</f>
        <v>26906</v>
      </c>
      <c r="D7" s="794">
        <f>SUM(D8:D10)</f>
        <v>42244</v>
      </c>
      <c r="E7" s="794">
        <f>SUM(E8:E10)</f>
        <v>22158</v>
      </c>
      <c r="F7" s="795">
        <f>SUM(F8:F10)</f>
        <v>36466</v>
      </c>
    </row>
    <row r="8" spans="1:6" ht="12.75">
      <c r="A8" s="225" t="s">
        <v>106</v>
      </c>
      <c r="B8" s="230" t="s">
        <v>107</v>
      </c>
      <c r="C8" s="796">
        <f>'9 Výsledovka'!E13</f>
        <v>23096</v>
      </c>
      <c r="D8" s="797">
        <f>'9 Výsledovka'!F13</f>
        <v>36640</v>
      </c>
      <c r="E8" s="797">
        <f>'9 Výsledovka'!G13</f>
        <v>36310</v>
      </c>
      <c r="F8" s="798">
        <f>'9 Výsledovka'!H13</f>
        <v>35372</v>
      </c>
    </row>
    <row r="9" spans="1:6" ht="12.75">
      <c r="A9" s="225" t="s">
        <v>219</v>
      </c>
      <c r="B9" s="230" t="s">
        <v>462</v>
      </c>
      <c r="C9" s="796">
        <f>'8 Rozvaha'!D36-'8 Rozvaha'!C36</f>
        <v>3810</v>
      </c>
      <c r="D9" s="797">
        <f>'8 Rozvaha'!E36-'8 Rozvaha'!D36</f>
        <v>5604</v>
      </c>
      <c r="E9" s="797">
        <f>'8 Rozvaha'!F36-'8 Rozvaha'!E36</f>
        <v>-5438</v>
      </c>
      <c r="F9" s="798">
        <f>'8 Rozvaha'!G36-'8 Rozvaha'!F36</f>
        <v>1094</v>
      </c>
    </row>
    <row r="10" spans="1:6" ht="12.75">
      <c r="A10" s="238" t="s">
        <v>108</v>
      </c>
      <c r="B10" s="239" t="s">
        <v>110</v>
      </c>
      <c r="C10" s="799">
        <f>-('9 Výsledovka'!E14-'9 Výsledovka'!E15)</f>
        <v>0</v>
      </c>
      <c r="D10" s="800">
        <f>-('9 Výsledovka'!F14-'9 Výsledovka'!F15)</f>
        <v>0</v>
      </c>
      <c r="E10" s="800">
        <f>-('9 Výsledovka'!G14-'9 Výsledovka'!G15)</f>
        <v>-8714</v>
      </c>
      <c r="F10" s="801">
        <f>-('9 Výsledovka'!H14-'9 Výsledovka'!H15)</f>
        <v>0</v>
      </c>
    </row>
    <row r="11" spans="1:6" s="86" customFormat="1" ht="12.75">
      <c r="A11" s="224" t="s">
        <v>111</v>
      </c>
      <c r="B11" s="229" t="s">
        <v>112</v>
      </c>
      <c r="C11" s="793">
        <f>SUM(C12:C15)</f>
        <v>23388</v>
      </c>
      <c r="D11" s="794">
        <f>SUM(D12:D15)</f>
        <v>-5970</v>
      </c>
      <c r="E11" s="794">
        <f>SUM(E12:E15)</f>
        <v>-1614</v>
      </c>
      <c r="F11" s="795">
        <f>SUM(F12:F15)</f>
        <v>-7656</v>
      </c>
    </row>
    <row r="12" spans="1:6" ht="12.75">
      <c r="A12" s="225" t="s">
        <v>113</v>
      </c>
      <c r="B12" s="230" t="s">
        <v>470</v>
      </c>
      <c r="C12" s="796">
        <f>-('8 Rozvaha'!D20-'8 Rozvaha'!C20+'8 Rozvaha'!D25-'8 Rozvaha'!C25)</f>
        <v>-1982</v>
      </c>
      <c r="D12" s="797">
        <f>-('8 Rozvaha'!E20-'8 Rozvaha'!D20+'8 Rozvaha'!E25-'8 Rozvaha'!D25)</f>
        <v>-1490</v>
      </c>
      <c r="E12" s="797">
        <f>-('8 Rozvaha'!F20-'8 Rozvaha'!E20+'8 Rozvaha'!F25-'8 Rozvaha'!E25)</f>
        <v>-6208</v>
      </c>
      <c r="F12" s="798">
        <f>-('8 Rozvaha'!G20-'8 Rozvaha'!F20+'8 Rozvaha'!G25-'8 Rozvaha'!F25)</f>
        <v>-16942</v>
      </c>
    </row>
    <row r="13" spans="1:6" ht="12.75">
      <c r="A13" s="225" t="s">
        <v>115</v>
      </c>
      <c r="B13" s="230" t="s">
        <v>469</v>
      </c>
      <c r="C13" s="796">
        <f>'8 Rozvaha'!D39-'8 Rozvaha'!C39+'8 Rozvaha'!D47-'8 Rozvaha'!C47</f>
        <v>54266</v>
      </c>
      <c r="D13" s="797">
        <f>'8 Rozvaha'!E39-'8 Rozvaha'!D39+'8 Rozvaha'!E47-'8 Rozvaha'!D47</f>
        <v>-3644</v>
      </c>
      <c r="E13" s="797">
        <f>'8 Rozvaha'!F39-'8 Rozvaha'!E39+'8 Rozvaha'!F47-'8 Rozvaha'!E47</f>
        <v>7484</v>
      </c>
      <c r="F13" s="798">
        <f>'8 Rozvaha'!G39-'8 Rozvaha'!F39+'8 Rozvaha'!G47-'8 Rozvaha'!F47</f>
        <v>1486</v>
      </c>
    </row>
    <row r="14" spans="1:6" ht="12.75">
      <c r="A14" s="225" t="s">
        <v>116</v>
      </c>
      <c r="B14" s="230" t="s">
        <v>117</v>
      </c>
      <c r="C14" s="796">
        <f>-('8 Rozvaha'!D16-'8 Rozvaha'!C16)</f>
        <v>-28896</v>
      </c>
      <c r="D14" s="797">
        <f>-('8 Rozvaha'!E16-'8 Rozvaha'!D16)</f>
        <v>-836</v>
      </c>
      <c r="E14" s="797">
        <f>-('8 Rozvaha'!F16-'8 Rozvaha'!E16)</f>
        <v>-2890</v>
      </c>
      <c r="F14" s="798">
        <f>-('8 Rozvaha'!G16-'8 Rozvaha'!F16)</f>
        <v>7800</v>
      </c>
    </row>
    <row r="15" spans="1:6" ht="12.75">
      <c r="A15" s="199" t="s">
        <v>118</v>
      </c>
      <c r="B15" s="230" t="s">
        <v>466</v>
      </c>
      <c r="C15" s="796">
        <f>-('8 Rozvaha'!D24-'8 Rozvaha'!C24)</f>
        <v>0</v>
      </c>
      <c r="D15" s="797">
        <f>-('8 Rozvaha'!E24-'8 Rozvaha'!D24)</f>
        <v>0</v>
      </c>
      <c r="E15" s="797">
        <f>-('8 Rozvaha'!F24-'8 Rozvaha'!E24)</f>
        <v>0</v>
      </c>
      <c r="F15" s="798">
        <f>-('8 Rozvaha'!G24-'8 Rozvaha'!F24)</f>
        <v>0</v>
      </c>
    </row>
    <row r="16" spans="1:6" s="86" customFormat="1" ht="13.5" thickBot="1">
      <c r="A16" s="751"/>
      <c r="B16" s="750" t="s">
        <v>119</v>
      </c>
      <c r="C16" s="802">
        <f>C6+C7+C11</f>
        <v>76174.762</v>
      </c>
      <c r="D16" s="803">
        <f>D6+D7+D11</f>
        <v>47624.4231</v>
      </c>
      <c r="E16" s="803">
        <f>E6+E7+E11</f>
        <v>57261.926553</v>
      </c>
      <c r="F16" s="804">
        <f>F6+F7+F11</f>
        <v>67060.43623306</v>
      </c>
    </row>
    <row r="17" spans="1:6" ht="12.75">
      <c r="A17" s="223" t="s">
        <v>69</v>
      </c>
      <c r="B17" s="228" t="s">
        <v>120</v>
      </c>
      <c r="C17" s="787"/>
      <c r="D17" s="788"/>
      <c r="E17" s="788"/>
      <c r="F17" s="789"/>
    </row>
    <row r="18" spans="1:6" s="86" customFormat="1" ht="12.75">
      <c r="A18" s="224" t="s">
        <v>121</v>
      </c>
      <c r="B18" s="229" t="s">
        <v>467</v>
      </c>
      <c r="C18" s="793">
        <f>SUM(C19:C20)</f>
        <v>-80946</v>
      </c>
      <c r="D18" s="794">
        <f>SUM(D19:D20)</f>
        <v>-11026</v>
      </c>
      <c r="E18" s="794">
        <f>SUM(E19:E20)</f>
        <v>-55968</v>
      </c>
      <c r="F18" s="795">
        <f>SUM(F19:F20)</f>
        <v>-7710</v>
      </c>
    </row>
    <row r="19" spans="1:6" ht="12.75">
      <c r="A19" s="225" t="s">
        <v>122</v>
      </c>
      <c r="B19" s="230" t="s">
        <v>140</v>
      </c>
      <c r="C19" s="796">
        <f>-('8 Rozvaha'!D7-'8 Rozvaha'!C7+'8 Rozvaha'!D8-'8 Rozvaha'!C8+'9 Výsledovka'!E13+'9 Výsledovka'!E15)</f>
        <v>-80946</v>
      </c>
      <c r="D19" s="797">
        <f>-('8 Rozvaha'!E7-'8 Rozvaha'!D7+'8 Rozvaha'!E8-'8 Rozvaha'!D8+'9 Výsledovka'!F13+'9 Výsledovka'!F15)</f>
        <v>-11026</v>
      </c>
      <c r="E19" s="797">
        <f>-('8 Rozvaha'!F7-'8 Rozvaha'!E7+'8 Rozvaha'!F8-'8 Rozvaha'!E8+'9 Výsledovka'!G13+'9 Výsledovka'!G15)</f>
        <v>-47968</v>
      </c>
      <c r="F19" s="798">
        <f>-('8 Rozvaha'!G7-'8 Rozvaha'!F7+'8 Rozvaha'!G8-'8 Rozvaha'!F8+'9 Výsledovka'!H13+'9 Výsledovka'!H15)</f>
        <v>-8478</v>
      </c>
    </row>
    <row r="20" spans="1:6" ht="12.75">
      <c r="A20" s="238" t="s">
        <v>123</v>
      </c>
      <c r="B20" s="239" t="s">
        <v>512</v>
      </c>
      <c r="C20" s="799">
        <f>-('8 Rozvaha'!D12-'8 Rozvaha'!C12)</f>
        <v>0</v>
      </c>
      <c r="D20" s="800">
        <f>-('8 Rozvaha'!E12-'8 Rozvaha'!D12)</f>
        <v>0</v>
      </c>
      <c r="E20" s="800">
        <f>-('8 Rozvaha'!F12-'8 Rozvaha'!E12)</f>
        <v>-8000</v>
      </c>
      <c r="F20" s="801">
        <f>-('8 Rozvaha'!G12-'8 Rozvaha'!F12)</f>
        <v>768</v>
      </c>
    </row>
    <row r="21" spans="1:6" s="86" customFormat="1" ht="12.75">
      <c r="A21" s="224" t="s">
        <v>125</v>
      </c>
      <c r="B21" s="229" t="s">
        <v>513</v>
      </c>
      <c r="C21" s="793">
        <f>'9 Výsledovka'!E14</f>
        <v>0</v>
      </c>
      <c r="D21" s="794">
        <f>'9 Výsledovka'!F14</f>
        <v>0</v>
      </c>
      <c r="E21" s="794">
        <f>'9 Výsledovka'!G14</f>
        <v>15370</v>
      </c>
      <c r="F21" s="795">
        <f>'9 Výsledovka'!H14</f>
        <v>0</v>
      </c>
    </row>
    <row r="22" spans="1:6" ht="13.5" thickBot="1">
      <c r="A22" s="749"/>
      <c r="B22" s="750" t="s">
        <v>126</v>
      </c>
      <c r="C22" s="802">
        <f>C18+C21</f>
        <v>-80946</v>
      </c>
      <c r="D22" s="803">
        <f>D18+D21</f>
        <v>-11026</v>
      </c>
      <c r="E22" s="803">
        <f>E18+E21</f>
        <v>-40598</v>
      </c>
      <c r="F22" s="804">
        <f>F18+F21</f>
        <v>-7710</v>
      </c>
    </row>
    <row r="23" spans="1:6" ht="12.75">
      <c r="A23" s="223" t="s">
        <v>127</v>
      </c>
      <c r="B23" s="228" t="s">
        <v>128</v>
      </c>
      <c r="C23" s="787"/>
      <c r="D23" s="788"/>
      <c r="E23" s="788"/>
      <c r="F23" s="789"/>
    </row>
    <row r="24" spans="1:6" s="86" customFormat="1" ht="12.75">
      <c r="A24" s="224" t="s">
        <v>129</v>
      </c>
      <c r="B24" s="229" t="s">
        <v>471</v>
      </c>
      <c r="C24" s="793">
        <f>SUM(C25:C27)</f>
        <v>31338</v>
      </c>
      <c r="D24" s="794">
        <f>SUM(D25:D27)</f>
        <v>-22592</v>
      </c>
      <c r="E24" s="794">
        <f>SUM(E25:E27)</f>
        <v>11032</v>
      </c>
      <c r="F24" s="795">
        <f>SUM(F25:F27)</f>
        <v>-31510</v>
      </c>
    </row>
    <row r="25" spans="1:6" ht="12.75">
      <c r="A25" s="225" t="s">
        <v>131</v>
      </c>
      <c r="B25" s="230" t="s">
        <v>141</v>
      </c>
      <c r="C25" s="796">
        <f>'8 Rozvaha'!D45-'8 Rozvaha'!C45</f>
        <v>9000</v>
      </c>
      <c r="D25" s="797">
        <f>'8 Rozvaha'!E45-'8 Rozvaha'!D45</f>
        <v>-1634</v>
      </c>
      <c r="E25" s="797">
        <f>'8 Rozvaha'!F45-'8 Rozvaha'!E45</f>
        <v>41862</v>
      </c>
      <c r="F25" s="798">
        <f>'8 Rozvaha'!G45-'8 Rozvaha'!F45</f>
        <v>-26040</v>
      </c>
    </row>
    <row r="26" spans="1:6" ht="12.75">
      <c r="A26" s="225" t="s">
        <v>220</v>
      </c>
      <c r="B26" s="230" t="s">
        <v>465</v>
      </c>
      <c r="C26" s="796">
        <f>'8 Rozvaha'!D46-'8 Rozvaha'!C46</f>
        <v>-2590</v>
      </c>
      <c r="D26" s="797">
        <f>'8 Rozvaha'!E46-'8 Rozvaha'!D46</f>
        <v>-10384</v>
      </c>
      <c r="E26" s="797">
        <f>'8 Rozvaha'!F46-'8 Rozvaha'!E46</f>
        <v>-22668</v>
      </c>
      <c r="F26" s="798">
        <f>'8 Rozvaha'!G46-'8 Rozvaha'!F46</f>
        <v>2490</v>
      </c>
    </row>
    <row r="27" spans="1:6" ht="12.75">
      <c r="A27" s="238" t="s">
        <v>132</v>
      </c>
      <c r="B27" s="239" t="s">
        <v>142</v>
      </c>
      <c r="C27" s="799">
        <f>'8 Rozvaha'!D38-'8 Rozvaha'!C38</f>
        <v>24928</v>
      </c>
      <c r="D27" s="800">
        <f>'8 Rozvaha'!E38-'8 Rozvaha'!D38</f>
        <v>-10574</v>
      </c>
      <c r="E27" s="800">
        <f>'8 Rozvaha'!F38-'8 Rozvaha'!E38</f>
        <v>-8162</v>
      </c>
      <c r="F27" s="801">
        <f>'8 Rozvaha'!G38-'8 Rozvaha'!F38</f>
        <v>-7960</v>
      </c>
    </row>
    <row r="28" spans="1:6" s="86" customFormat="1" ht="12.75">
      <c r="A28" s="224" t="s">
        <v>133</v>
      </c>
      <c r="B28" s="229" t="s">
        <v>134</v>
      </c>
      <c r="C28" s="793">
        <f>SUM(C29:C30)</f>
        <v>-15000</v>
      </c>
      <c r="D28" s="794">
        <f>SUM(D29:D30)</f>
        <v>-20000</v>
      </c>
      <c r="E28" s="794">
        <f>SUM(E29:E30)</f>
        <v>-25000</v>
      </c>
      <c r="F28" s="795">
        <f>SUM(F29:F30)</f>
        <v>-27000</v>
      </c>
    </row>
    <row r="29" spans="1:6" ht="12.75">
      <c r="A29" s="225" t="s">
        <v>135</v>
      </c>
      <c r="B29" s="230" t="s">
        <v>136</v>
      </c>
      <c r="C29" s="796">
        <f>'8 Rozvaha'!D29-'8 Rozvaha'!C29</f>
        <v>0</v>
      </c>
      <c r="D29" s="797">
        <f>'8 Rozvaha'!E29-'8 Rozvaha'!D29</f>
        <v>0</v>
      </c>
      <c r="E29" s="797">
        <f>'8 Rozvaha'!F29-'8 Rozvaha'!E29</f>
        <v>0</v>
      </c>
      <c r="F29" s="798">
        <f>'8 Rozvaha'!G29-'8 Rozvaha'!F29</f>
        <v>0</v>
      </c>
    </row>
    <row r="30" spans="1:6" ht="12.75">
      <c r="A30" s="225" t="s">
        <v>221</v>
      </c>
      <c r="B30" s="230" t="s">
        <v>468</v>
      </c>
      <c r="C30" s="752">
        <v>-15000</v>
      </c>
      <c r="D30" s="753">
        <v>-20000</v>
      </c>
      <c r="E30" s="753">
        <v>-25000</v>
      </c>
      <c r="F30" s="755">
        <v>-27000</v>
      </c>
    </row>
    <row r="31" spans="1:6" ht="13.5" thickBot="1">
      <c r="A31" s="749"/>
      <c r="B31" s="750" t="s">
        <v>137</v>
      </c>
      <c r="C31" s="802">
        <f>C24+C28</f>
        <v>16338</v>
      </c>
      <c r="D31" s="803">
        <f>D24+D28</f>
        <v>-42592</v>
      </c>
      <c r="E31" s="803">
        <f>E24+E28</f>
        <v>-13968</v>
      </c>
      <c r="F31" s="804">
        <f>F24+F28</f>
        <v>-58510</v>
      </c>
    </row>
    <row r="32" spans="1:6" ht="13.5" thickBot="1">
      <c r="A32" s="747"/>
      <c r="B32" s="748" t="s">
        <v>138</v>
      </c>
      <c r="C32" s="805">
        <f>C16+C22+C31</f>
        <v>11566.762000000002</v>
      </c>
      <c r="D32" s="806">
        <f>D16+D22+D31</f>
        <v>-5993.5769</v>
      </c>
      <c r="E32" s="806">
        <f>E16+E22+E31</f>
        <v>2695.9265529999975</v>
      </c>
      <c r="F32" s="807">
        <f>F16+F22+F31</f>
        <v>840.4362330599979</v>
      </c>
    </row>
    <row r="33" spans="1:6" ht="13.5" thickBot="1">
      <c r="A33" s="744"/>
      <c r="B33" s="746" t="s">
        <v>139</v>
      </c>
      <c r="C33" s="784">
        <f>C4+C32</f>
        <v>24434.461999999956</v>
      </c>
      <c r="D33" s="785">
        <f>D4+D32</f>
        <v>18440.885099999956</v>
      </c>
      <c r="E33" s="785">
        <f>E4+E32</f>
        <v>21136.811652999953</v>
      </c>
      <c r="F33" s="786">
        <f>F4+F32</f>
        <v>21977.24788605995</v>
      </c>
    </row>
    <row r="35" spans="3:6" ht="12.75">
      <c r="C35" s="32"/>
      <c r="D35" s="32"/>
      <c r="E35" s="32"/>
      <c r="F35" s="32"/>
    </row>
  </sheetData>
  <hyperlinks>
    <hyperlink ref="F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showGridLines="0" workbookViewId="0" topLeftCell="A2">
      <pane ySplit="3" topLeftCell="BM5" activePane="bottomLeft" state="frozen"/>
      <selection pane="topLeft" activeCell="A1" sqref="A1:D1"/>
      <selection pane="bottomLeft" activeCell="A2" sqref="A2"/>
    </sheetView>
  </sheetViews>
  <sheetFormatPr defaultColWidth="9.00390625" defaultRowHeight="12.75"/>
  <cols>
    <col min="1" max="1" width="6.875" style="5" customWidth="1"/>
    <col min="2" max="2" width="33.75390625" style="5" customWidth="1"/>
    <col min="3" max="7" width="9.25390625" style="0" customWidth="1"/>
    <col min="8" max="8" width="9.125" style="10" customWidth="1"/>
  </cols>
  <sheetData>
    <row r="2" spans="1:9" s="5" customFormat="1" ht="21" customHeight="1">
      <c r="A2" s="740" t="s">
        <v>647</v>
      </c>
      <c r="G2" s="1248" t="s">
        <v>785</v>
      </c>
      <c r="I2" s="30"/>
    </row>
    <row r="3" spans="1:9" s="5" customFormat="1" ht="21" customHeight="1" thickBot="1">
      <c r="A3" s="741" t="s">
        <v>648</v>
      </c>
      <c r="I3" s="30"/>
    </row>
    <row r="4" spans="1:7" ht="13.5" thickBot="1">
      <c r="A4" s="714"/>
      <c r="B4" s="715" t="s">
        <v>228</v>
      </c>
      <c r="C4" s="743">
        <v>1997</v>
      </c>
      <c r="D4" s="717">
        <f>výchozí_rok+1</f>
        <v>1998</v>
      </c>
      <c r="E4" s="717">
        <f>výchozí_rok+2</f>
        <v>1999</v>
      </c>
      <c r="F4" s="717">
        <f>výchozí_rok+3</f>
        <v>2000</v>
      </c>
      <c r="G4" s="814">
        <f>výchozí_rok+4</f>
        <v>2001</v>
      </c>
    </row>
    <row r="5" spans="1:8" s="1" customFormat="1" ht="13.5" thickBot="1">
      <c r="A5" s="719"/>
      <c r="B5" s="720" t="s">
        <v>0</v>
      </c>
      <c r="C5" s="816">
        <f>'8 Rozvaha'!C5/'8 Rozvaha'!C$5</f>
        <v>1</v>
      </c>
      <c r="D5" s="817">
        <f>'8 Rozvaha'!D5/'8 Rozvaha'!D$5</f>
        <v>1</v>
      </c>
      <c r="E5" s="817">
        <f>'8 Rozvaha'!E5/'8 Rozvaha'!E$5</f>
        <v>1</v>
      </c>
      <c r="F5" s="817">
        <f>'8 Rozvaha'!F5/'8 Rozvaha'!F$5</f>
        <v>1</v>
      </c>
      <c r="G5" s="818">
        <f>'8 Rozvaha'!G5/'8 Rozvaha'!G$5</f>
        <v>1</v>
      </c>
      <c r="H5" s="11"/>
    </row>
    <row r="6" spans="1:11" s="1" customFormat="1" ht="12.75">
      <c r="A6" s="730" t="s">
        <v>2</v>
      </c>
      <c r="B6" s="731" t="s">
        <v>444</v>
      </c>
      <c r="C6" s="819">
        <f>'8 Rozvaha'!C6/'8 Rozvaha'!C$5</f>
        <v>0.688952138008897</v>
      </c>
      <c r="D6" s="820">
        <f>'8 Rozvaha'!D6/'8 Rozvaha'!D$5</f>
        <v>0.6713881130682116</v>
      </c>
      <c r="E6" s="820">
        <f>'8 Rozvaha'!E6/'8 Rozvaha'!E$5</f>
        <v>0.6616444419366366</v>
      </c>
      <c r="F6" s="820">
        <f>'8 Rozvaha'!F6/'8 Rozvaha'!F$5</f>
        <v>0.6562915215810194</v>
      </c>
      <c r="G6" s="821">
        <f>'8 Rozvaha'!G6/'8 Rozvaha'!G$5</f>
        <v>0.6303165603505879</v>
      </c>
      <c r="H6" s="12"/>
      <c r="I6" s="9"/>
      <c r="J6" s="9"/>
      <c r="K6" s="9"/>
    </row>
    <row r="7" spans="1:11" s="1" customFormat="1" ht="12.75">
      <c r="A7" s="236" t="s">
        <v>3</v>
      </c>
      <c r="B7" s="237" t="s">
        <v>4</v>
      </c>
      <c r="C7" s="809">
        <f>'8 Rozvaha'!C7/'8 Rozvaha'!C$5</f>
        <v>0.001199729616491987</v>
      </c>
      <c r="D7" s="56">
        <f>'8 Rozvaha'!D7/'8 Rozvaha'!D$5</f>
        <v>0.0015489920369973252</v>
      </c>
      <c r="E7" s="56">
        <f>'8 Rozvaha'!E7/'8 Rozvaha'!E$5</f>
        <v>0.0022940925713487797</v>
      </c>
      <c r="F7" s="56">
        <f>'8 Rozvaha'!F7/'8 Rozvaha'!F$5</f>
        <v>0.002317862215495698</v>
      </c>
      <c r="G7" s="57">
        <f>'8 Rozvaha'!G7/'8 Rozvaha'!G$5</f>
        <v>0.0018827297219050957</v>
      </c>
      <c r="H7" s="12"/>
      <c r="I7" s="9"/>
      <c r="J7" s="9"/>
      <c r="K7" s="9"/>
    </row>
    <row r="8" spans="1:11" s="1" customFormat="1" ht="12.75">
      <c r="A8" s="224" t="s">
        <v>5</v>
      </c>
      <c r="B8" s="229" t="s">
        <v>6</v>
      </c>
      <c r="C8" s="69">
        <f>'8 Rozvaha'!C8/'8 Rozvaha'!C$5</f>
        <v>0.6853936807204747</v>
      </c>
      <c r="D8" s="38">
        <f>'8 Rozvaha'!D8/'8 Rozvaha'!D$5</f>
        <v>0.6678497905320867</v>
      </c>
      <c r="E8" s="38">
        <f>'8 Rozvaha'!E8/'8 Rozvaha'!E$5</f>
        <v>0.6572657031913233</v>
      </c>
      <c r="F8" s="38">
        <f>'8 Rozvaha'!F8/'8 Rozvaha'!F$5</f>
        <v>0.6393903118848541</v>
      </c>
      <c r="G8" s="39">
        <f>'8 Rozvaha'!G8/'8 Rozvaha'!G$5</f>
        <v>0.6146756699632836</v>
      </c>
      <c r="H8" s="12"/>
      <c r="I8" s="9"/>
      <c r="J8" s="9"/>
      <c r="K8" s="9"/>
    </row>
    <row r="9" spans="1:11" ht="12.75">
      <c r="A9" s="225" t="s">
        <v>7</v>
      </c>
      <c r="B9" s="230" t="s">
        <v>8</v>
      </c>
      <c r="C9" s="71">
        <f>'8 Rozvaha'!C9/'8 Rozvaha'!C$5</f>
        <v>0.026890236033842004</v>
      </c>
      <c r="D9" s="41">
        <f>'8 Rozvaha'!D9/'8 Rozvaha'!D$5</f>
        <v>0.022678992283618096</v>
      </c>
      <c r="E9" s="41">
        <f>'8 Rozvaha'!E9/'8 Rozvaha'!E$5</f>
        <v>0.023765620903188074</v>
      </c>
      <c r="F9" s="41">
        <f>'8 Rozvaha'!F9/'8 Rozvaha'!F$5</f>
        <v>0.02283896256299832</v>
      </c>
      <c r="G9" s="42">
        <f>'8 Rozvaha'!G9/'8 Rozvaha'!G$5</f>
        <v>0.02349206742349623</v>
      </c>
      <c r="H9" s="12"/>
      <c r="I9" s="9"/>
      <c r="J9" s="9"/>
      <c r="K9" s="9"/>
    </row>
    <row r="10" spans="1:14" ht="12.75">
      <c r="A10" s="225" t="s">
        <v>9</v>
      </c>
      <c r="B10" s="230" t="s">
        <v>10</v>
      </c>
      <c r="C10" s="71">
        <f>'8 Rozvaha'!C10/'8 Rozvaha'!C$5</f>
        <v>0.5877675346130327</v>
      </c>
      <c r="D10" s="41">
        <f>'8 Rozvaha'!D10/'8 Rozvaha'!D$5</f>
        <v>0.5507384974123292</v>
      </c>
      <c r="E10" s="41">
        <f>'8 Rozvaha'!E10/'8 Rozvaha'!E$5</f>
        <v>0.5506051253234211</v>
      </c>
      <c r="F10" s="41">
        <f>'8 Rozvaha'!F10/'8 Rozvaha'!F$5</f>
        <v>0.5180406326651776</v>
      </c>
      <c r="G10" s="42">
        <f>'8 Rozvaha'!G10/'8 Rozvaha'!G$5</f>
        <v>0.5192063923810445</v>
      </c>
      <c r="H10" s="12"/>
      <c r="I10" s="9"/>
      <c r="J10" s="9"/>
      <c r="K10" s="9"/>
      <c r="L10" s="9"/>
      <c r="M10" s="9"/>
      <c r="N10" s="9"/>
    </row>
    <row r="11" spans="1:13" ht="12.75">
      <c r="A11" s="238" t="s">
        <v>11</v>
      </c>
      <c r="B11" s="239" t="s">
        <v>202</v>
      </c>
      <c r="C11" s="70">
        <f>'8 Rozvaha'!C11/'8 Rozvaha'!C$5</f>
        <v>0.07073591007360008</v>
      </c>
      <c r="D11" s="60">
        <f>'8 Rozvaha'!D11/'8 Rozvaha'!D$5</f>
        <v>0.09443230083613935</v>
      </c>
      <c r="E11" s="60">
        <f>'8 Rozvaha'!E11/'8 Rozvaha'!E$5</f>
        <v>0.0828949569647141</v>
      </c>
      <c r="F11" s="60">
        <f>'8 Rozvaha'!F11/'8 Rozvaha'!F$5</f>
        <v>0.09851071665667809</v>
      </c>
      <c r="G11" s="61">
        <f>'8 Rozvaha'!G11/'8 Rozvaha'!G$5</f>
        <v>0.07197721015874292</v>
      </c>
      <c r="H11" s="12"/>
      <c r="I11" s="9"/>
      <c r="J11" s="9"/>
      <c r="K11" s="9"/>
      <c r="L11" s="9"/>
      <c r="M11" s="9"/>
    </row>
    <row r="12" spans="1:11" s="1" customFormat="1" ht="13.5" thickBot="1">
      <c r="A12" s="234" t="s">
        <v>13</v>
      </c>
      <c r="B12" s="235" t="s">
        <v>14</v>
      </c>
      <c r="C12" s="810">
        <f>'8 Rozvaha'!C12/'8 Rozvaha'!C$5</f>
        <v>0.002358727671930234</v>
      </c>
      <c r="D12" s="49">
        <f>'8 Rozvaha'!D12/'8 Rozvaha'!D$5</f>
        <v>0.001989330499127613</v>
      </c>
      <c r="E12" s="49">
        <f>'8 Rozvaha'!E12/'8 Rozvaha'!E$5</f>
        <v>0.002084646173964583</v>
      </c>
      <c r="F12" s="49">
        <f>'8 Rozvaha'!F12/'8 Rozvaha'!F$5</f>
        <v>0.014583347480669678</v>
      </c>
      <c r="G12" s="50">
        <f>'8 Rozvaha'!G12/'8 Rozvaha'!G$5</f>
        <v>0.013758160665399265</v>
      </c>
      <c r="H12" s="12"/>
      <c r="I12" s="9"/>
      <c r="J12" s="9"/>
      <c r="K12" s="9"/>
    </row>
    <row r="13" spans="1:11" s="1" customFormat="1" ht="12.75">
      <c r="A13" s="730" t="s">
        <v>19</v>
      </c>
      <c r="B13" s="731" t="s">
        <v>20</v>
      </c>
      <c r="C13" s="819">
        <f>'8 Rozvaha'!C15/'8 Rozvaha'!C$5</f>
        <v>0.3070672776153966</v>
      </c>
      <c r="D13" s="820">
        <f>'8 Rozvaha'!D15/'8 Rozvaha'!D$5</f>
        <v>0.32275944524361705</v>
      </c>
      <c r="E13" s="820">
        <f>'8 Rozvaha'!E15/'8 Rozvaha'!E$5</f>
        <v>0.3331161255287994</v>
      </c>
      <c r="F13" s="820">
        <f>'8 Rozvaha'!F15/'8 Rozvaha'!F$5</f>
        <v>0.329496240492488</v>
      </c>
      <c r="G13" s="821">
        <f>'8 Rozvaha'!G15/'8 Rozvaha'!G$5</f>
        <v>0.34722331514909066</v>
      </c>
      <c r="H13" s="12"/>
      <c r="I13" s="9"/>
      <c r="J13" s="9"/>
      <c r="K13" s="9"/>
    </row>
    <row r="14" spans="1:11" s="1" customFormat="1" ht="12.75">
      <c r="A14" s="224" t="s">
        <v>21</v>
      </c>
      <c r="B14" s="229" t="s">
        <v>22</v>
      </c>
      <c r="C14" s="69">
        <f>'8 Rozvaha'!C16/'8 Rozvaha'!C$5</f>
        <v>0.2013361062886383</v>
      </c>
      <c r="D14" s="38">
        <f>'8 Rozvaha'!D16/'8 Rozvaha'!D$5</f>
        <v>0.2149257681011954</v>
      </c>
      <c r="E14" s="38">
        <f>'8 Rozvaha'!E16/'8 Rozvaha'!E$5</f>
        <v>0.22659154857006872</v>
      </c>
      <c r="F14" s="38">
        <f>'8 Rozvaha'!F16/'8 Rozvaha'!F$5</f>
        <v>0.22230091294450194</v>
      </c>
      <c r="G14" s="39">
        <f>'8 Rozvaha'!G16/'8 Rozvaha'!G$5</f>
        <v>0.2160416181232129</v>
      </c>
      <c r="H14" s="12"/>
      <c r="I14" s="9"/>
      <c r="J14" s="9"/>
      <c r="K14" s="9"/>
    </row>
    <row r="15" spans="1:14" ht="12.75">
      <c r="A15" s="225" t="s">
        <v>23</v>
      </c>
      <c r="B15" s="230" t="s">
        <v>24</v>
      </c>
      <c r="C15" s="71">
        <f>'8 Rozvaha'!C17/'8 Rozvaha'!C$5</f>
        <v>0.00369916631751696</v>
      </c>
      <c r="D15" s="41">
        <f>'8 Rozvaha'!D17/'8 Rozvaha'!D$5</f>
        <v>0.002960573490067468</v>
      </c>
      <c r="E15" s="41">
        <f>'8 Rozvaha'!E17/'8 Rozvaha'!E$5</f>
        <v>0.0033347793583515073</v>
      </c>
      <c r="F15" s="41">
        <f>'8 Rozvaha'!F17/'8 Rozvaha'!F$5</f>
        <v>0.003550700734456775</v>
      </c>
      <c r="G15" s="42">
        <f>'8 Rozvaha'!G17/'8 Rozvaha'!G$5</f>
        <v>0.002086530361905132</v>
      </c>
      <c r="H15" s="12"/>
      <c r="I15" s="9"/>
      <c r="J15" s="9"/>
      <c r="K15" s="9"/>
      <c r="L15" s="9"/>
      <c r="M15" s="9"/>
      <c r="N15" s="9"/>
    </row>
    <row r="16" spans="1:13" ht="12.75">
      <c r="A16" s="238" t="s">
        <v>25</v>
      </c>
      <c r="B16" s="239" t="s">
        <v>26</v>
      </c>
      <c r="C16" s="70">
        <f>'8 Rozvaha'!C18/'8 Rozvaha'!C$5</f>
        <v>0.19763693997112133</v>
      </c>
      <c r="D16" s="60">
        <f>'8 Rozvaha'!D18/'8 Rozvaha'!D$5</f>
        <v>0.21196519461112792</v>
      </c>
      <c r="E16" s="60">
        <f>'8 Rozvaha'!E18/'8 Rozvaha'!E$5</f>
        <v>0.2232567692117172</v>
      </c>
      <c r="F16" s="60">
        <f>'8 Rozvaha'!F18/'8 Rozvaha'!F$5</f>
        <v>0.21875021221004515</v>
      </c>
      <c r="G16" s="61">
        <f>'8 Rozvaha'!G18/'8 Rozvaha'!G$5</f>
        <v>0.21395508776130778</v>
      </c>
      <c r="H16" s="12"/>
      <c r="I16" s="9"/>
      <c r="J16" s="9"/>
      <c r="K16" s="9"/>
      <c r="L16" s="9"/>
      <c r="M16" s="9"/>
    </row>
    <row r="17" spans="1:11" s="1" customFormat="1" ht="12.75">
      <c r="A17" s="236" t="s">
        <v>29</v>
      </c>
      <c r="B17" s="237" t="s">
        <v>230</v>
      </c>
      <c r="C17" s="68">
        <f>'8 Rozvaha'!C20/'8 Rozvaha'!C$5</f>
        <v>0.08190746640988504</v>
      </c>
      <c r="D17" s="62">
        <f>'8 Rozvaha'!D20/'8 Rozvaha'!D$5</f>
        <v>0.06967965792234741</v>
      </c>
      <c r="E17" s="62">
        <f>'8 Rozvaha'!E20/'8 Rozvaha'!E$5</f>
        <v>0.07634975704645797</v>
      </c>
      <c r="F17" s="62">
        <f>'8 Rozvaha'!F20/'8 Rozvaha'!F$5</f>
        <v>0.07395773115277726</v>
      </c>
      <c r="G17" s="63">
        <f>'8 Rozvaha'!G20/'8 Rozvaha'!G$5</f>
        <v>0.09563425905271537</v>
      </c>
      <c r="H17" s="12"/>
      <c r="I17" s="9"/>
      <c r="J17" s="9"/>
      <c r="K17" s="9"/>
    </row>
    <row r="18" spans="1:11" s="1" customFormat="1" ht="13.5" thickBot="1">
      <c r="A18" s="234" t="s">
        <v>32</v>
      </c>
      <c r="B18" s="808" t="s">
        <v>447</v>
      </c>
      <c r="C18" s="811">
        <f>'8 Rozvaha'!C22/'8 Rozvaha'!C$5</f>
        <v>0.02382370491687328</v>
      </c>
      <c r="D18" s="66">
        <f>'8 Rozvaha'!D22/'8 Rozvaha'!D$5</f>
        <v>0.03815401922007426</v>
      </c>
      <c r="E18" s="66">
        <f>'8 Rozvaha'!E22/'8 Rozvaha'!E$5</f>
        <v>0.030174819912272683</v>
      </c>
      <c r="F18" s="66">
        <f>'8 Rozvaha'!F22/'8 Rozvaha'!F$5</f>
        <v>0.03323759639520879</v>
      </c>
      <c r="G18" s="67">
        <f>'8 Rozvaha'!G22/'8 Rozvaha'!G$5</f>
        <v>0.03554743797316238</v>
      </c>
      <c r="H18" s="12"/>
      <c r="I18" s="9"/>
      <c r="J18" s="9"/>
      <c r="K18" s="9"/>
    </row>
    <row r="19" spans="1:11" s="1" customFormat="1" ht="13.5" thickBot="1">
      <c r="A19" s="735" t="s">
        <v>35</v>
      </c>
      <c r="B19" s="736" t="s">
        <v>36</v>
      </c>
      <c r="C19" s="822">
        <f>'8 Rozvaha'!C25/'8 Rozvaha'!C$5</f>
        <v>0.003980584375706439</v>
      </c>
      <c r="D19" s="823">
        <f>'8 Rozvaha'!D25/'8 Rozvaha'!D$5</f>
        <v>0.005852441688171345</v>
      </c>
      <c r="E19" s="823">
        <f>'8 Rozvaha'!E25/'8 Rozvaha'!E$5</f>
        <v>0.005239432534564046</v>
      </c>
      <c r="F19" s="823">
        <f>'8 Rozvaha'!F25/'8 Rozvaha'!F$5</f>
        <v>0.014212237926492618</v>
      </c>
      <c r="G19" s="824">
        <f>'8 Rozvaha'!G25/'8 Rozvaha'!G$5</f>
        <v>0.022460124500321442</v>
      </c>
      <c r="H19" s="12"/>
      <c r="I19" s="9"/>
      <c r="J19" s="9"/>
      <c r="K19" s="9"/>
    </row>
    <row r="20" spans="1:11" ht="13.5" thickBot="1">
      <c r="A20" s="225"/>
      <c r="B20" s="813"/>
      <c r="C20" s="29"/>
      <c r="D20" s="29"/>
      <c r="E20" s="29"/>
      <c r="F20" s="29"/>
      <c r="G20" s="29"/>
      <c r="H20" s="12"/>
      <c r="I20" s="9"/>
      <c r="J20" s="9"/>
      <c r="K20" s="9"/>
    </row>
    <row r="21" spans="1:11" ht="13.5" thickBot="1">
      <c r="A21" s="815"/>
      <c r="B21" s="715" t="s">
        <v>229</v>
      </c>
      <c r="C21" s="743">
        <v>1997</v>
      </c>
      <c r="D21" s="717">
        <f>výchozí_rok+1</f>
        <v>1998</v>
      </c>
      <c r="E21" s="717">
        <f>výchozí_rok+2</f>
        <v>1999</v>
      </c>
      <c r="F21" s="717">
        <f>výchozí_rok+3</f>
        <v>2000</v>
      </c>
      <c r="G21" s="814">
        <f>výchozí_rok+4</f>
        <v>2001</v>
      </c>
      <c r="H21" s="12"/>
      <c r="I21" s="9"/>
      <c r="J21" s="9"/>
      <c r="K21" s="9"/>
    </row>
    <row r="22" spans="1:11" s="1" customFormat="1" ht="13.5" thickBot="1">
      <c r="A22" s="724"/>
      <c r="B22" s="720" t="s">
        <v>37</v>
      </c>
      <c r="C22" s="816">
        <f>'8 Rozvaha'!C27/'8 Rozvaha'!C$5</f>
        <v>1</v>
      </c>
      <c r="D22" s="817">
        <f>'8 Rozvaha'!D27/'8 Rozvaha'!D$5</f>
        <v>1.0000000000000002</v>
      </c>
      <c r="E22" s="817">
        <f>'8 Rozvaha'!E27/'8 Rozvaha'!E$5</f>
        <v>1.0000000000000002</v>
      </c>
      <c r="F22" s="817">
        <f>'8 Rozvaha'!F27/'8 Rozvaha'!F$5</f>
        <v>1.0000000000000002</v>
      </c>
      <c r="G22" s="818">
        <f>'8 Rozvaha'!G27/'8 Rozvaha'!G$5</f>
        <v>1.0000000000000002</v>
      </c>
      <c r="H22" s="12"/>
      <c r="I22" s="9"/>
      <c r="J22" s="9"/>
      <c r="K22" s="9"/>
    </row>
    <row r="23" spans="1:11" s="1" customFormat="1" ht="13.5" thickBot="1">
      <c r="A23" s="735" t="s">
        <v>1</v>
      </c>
      <c r="B23" s="736" t="s">
        <v>38</v>
      </c>
      <c r="C23" s="825">
        <f>'8 Rozvaha'!C28/'8 Rozvaha'!C$5</f>
        <v>0.4826054942802706</v>
      </c>
      <c r="D23" s="826">
        <f>'8 Rozvaha'!D28/'8 Rozvaha'!D$5</f>
        <v>0.4240154307588677</v>
      </c>
      <c r="E23" s="826">
        <f>'8 Rozvaha'!E28/'8 Rozvaha'!E$5</f>
        <v>0.430178167716579</v>
      </c>
      <c r="F23" s="826">
        <f>'8 Rozvaha'!F28/'8 Rozvaha'!F$5</f>
        <v>0.431831272554923</v>
      </c>
      <c r="G23" s="827">
        <f>'8 Rozvaha'!G28/'8 Rozvaha'!G$5</f>
        <v>0.4623771466106985</v>
      </c>
      <c r="H23" s="13"/>
      <c r="I23" s="9"/>
      <c r="J23" s="9"/>
      <c r="K23" s="9"/>
    </row>
    <row r="24" spans="1:11" s="1" customFormat="1" ht="12.75">
      <c r="A24" s="730" t="s">
        <v>2</v>
      </c>
      <c r="B24" s="731" t="s">
        <v>50</v>
      </c>
      <c r="C24" s="819">
        <f>'8 Rozvaha'!C35/'8 Rozvaha'!C$5</f>
        <v>0.4617700047970671</v>
      </c>
      <c r="D24" s="820">
        <f>'8 Rozvaha'!D35/'8 Rozvaha'!D$5</f>
        <v>0.5213794769691602</v>
      </c>
      <c r="E24" s="820">
        <f>'8 Rozvaha'!E35/'8 Rozvaha'!E$5</f>
        <v>0.5377830786835572</v>
      </c>
      <c r="F24" s="820">
        <f>'8 Rozvaha'!F35/'8 Rozvaha'!F$5</f>
        <v>0.5468236380874526</v>
      </c>
      <c r="G24" s="821">
        <f>'8 Rozvaha'!G35/'8 Rozvaha'!G$5</f>
        <v>0.5183491357207268</v>
      </c>
      <c r="H24" s="12"/>
      <c r="I24" s="9"/>
      <c r="J24" s="9"/>
      <c r="K24" s="9"/>
    </row>
    <row r="25" spans="1:11" s="1" customFormat="1" ht="12.75">
      <c r="A25" s="236" t="s">
        <v>3</v>
      </c>
      <c r="B25" s="237" t="s">
        <v>51</v>
      </c>
      <c r="C25" s="68">
        <f>'8 Rozvaha'!C36/'8 Rozvaha'!C$5</f>
        <v>0</v>
      </c>
      <c r="D25" s="62">
        <f>'8 Rozvaha'!D36/'8 Rozvaha'!D$5</f>
        <v>0.005949253690483679</v>
      </c>
      <c r="E25" s="62">
        <f>'8 Rozvaha'!E36/'8 Rozvaha'!E$5</f>
        <v>0.015404128007615843</v>
      </c>
      <c r="F25" s="62">
        <f>'8 Rozvaha'!F36/'8 Rozvaha'!F$5</f>
        <v>0.00625225248901689</v>
      </c>
      <c r="G25" s="63">
        <f>'8 Rozvaha'!G36/'8 Rozvaha'!G$5</f>
        <v>0.008200549561906216</v>
      </c>
      <c r="H25" s="12"/>
      <c r="I25" s="9"/>
      <c r="J25" s="9"/>
      <c r="K25" s="9"/>
    </row>
    <row r="26" spans="1:11" s="1" customFormat="1" ht="12.75">
      <c r="A26" s="236" t="s">
        <v>5</v>
      </c>
      <c r="B26" s="237" t="s">
        <v>231</v>
      </c>
      <c r="C26" s="68">
        <f>'8 Rozvaha'!C37/'8 Rozvaha'!C$5</f>
        <v>0.02691615611814893</v>
      </c>
      <c r="D26" s="62">
        <f>'8 Rozvaha'!D37/'8 Rozvaha'!D$5</f>
        <v>0.06162552392352463</v>
      </c>
      <c r="E26" s="62">
        <f>'8 Rozvaha'!E37/'8 Rozvaha'!E$5</f>
        <v>0.04727597900956416</v>
      </c>
      <c r="F26" s="62">
        <f>'8 Rozvaha'!F37/'8 Rozvaha'!F$5</f>
        <v>0.03259788583936623</v>
      </c>
      <c r="G26" s="63">
        <f>'8 Rozvaha'!G37/'8 Rozvaha'!G$5</f>
        <v>0.02065503311746398</v>
      </c>
      <c r="H26" s="12"/>
      <c r="I26" s="9"/>
      <c r="J26" s="9"/>
      <c r="K26" s="9"/>
    </row>
    <row r="27" spans="1:11" s="1" customFormat="1" ht="12.75">
      <c r="A27" s="224" t="s">
        <v>13</v>
      </c>
      <c r="B27" s="229" t="s">
        <v>53</v>
      </c>
      <c r="C27" s="69">
        <f>'8 Rozvaha'!C39/'8 Rozvaha'!C$5</f>
        <v>0.21945794808836602</v>
      </c>
      <c r="D27" s="38">
        <f>'8 Rozvaha'!D39/'8 Rozvaha'!D$5</f>
        <v>0.2621325496158155</v>
      </c>
      <c r="E27" s="38">
        <f>'8 Rozvaha'!E39/'8 Rozvaha'!E$5</f>
        <v>0.2939122023292923</v>
      </c>
      <c r="F27" s="38">
        <f>'8 Rozvaha'!F39/'8 Rozvaha'!F$5</f>
        <v>0.30366511019971115</v>
      </c>
      <c r="G27" s="39">
        <f>'8 Rozvaha'!G39/'8 Rozvaha'!G$5</f>
        <v>0.31743405398862773</v>
      </c>
      <c r="H27" s="12"/>
      <c r="I27" s="9"/>
      <c r="J27" s="9"/>
      <c r="K27" s="9"/>
    </row>
    <row r="28" spans="1:11" ht="12.75">
      <c r="A28" s="238" t="s">
        <v>15</v>
      </c>
      <c r="B28" s="239" t="s">
        <v>650</v>
      </c>
      <c r="C28" s="70">
        <f>'8 Rozvaha'!C40/'8 Rozvaha'!C$5</f>
        <v>0.15328767572197155</v>
      </c>
      <c r="D28" s="60">
        <f>'8 Rozvaha'!D40/'8 Rozvaha'!D$5</f>
        <v>0.18080109877000633</v>
      </c>
      <c r="E28" s="60">
        <f>'8 Rozvaha'!E40/'8 Rozvaha'!E$5</f>
        <v>0.19623818394915582</v>
      </c>
      <c r="F28" s="60">
        <f>'8 Rozvaha'!F40/'8 Rozvaha'!F$5</f>
        <v>0.21805202304879678</v>
      </c>
      <c r="G28" s="61">
        <f>'8 Rozvaha'!G40/'8 Rozvaha'!G$5</f>
        <v>0.23545767274670842</v>
      </c>
      <c r="H28" s="12"/>
      <c r="I28" s="9"/>
      <c r="J28" s="9"/>
      <c r="K28" s="9"/>
    </row>
    <row r="29" spans="1:11" s="1" customFormat="1" ht="12.75">
      <c r="A29" s="224" t="s">
        <v>58</v>
      </c>
      <c r="B29" s="229" t="s">
        <v>59</v>
      </c>
      <c r="C29" s="69">
        <f>'8 Rozvaha'!C44/'8 Rozvaha'!C$5</f>
        <v>0.2153959005905521</v>
      </c>
      <c r="D29" s="38">
        <f>'8 Rozvaha'!D44/'8 Rozvaha'!D$5</f>
        <v>0.19167214973933636</v>
      </c>
      <c r="E29" s="38">
        <f>'8 Rozvaha'!E44/'8 Rozvaha'!E$5</f>
        <v>0.18119076933708494</v>
      </c>
      <c r="F29" s="38">
        <f>'8 Rozvaha'!F44/'8 Rozvaha'!F$5</f>
        <v>0.20430838955935826</v>
      </c>
      <c r="G29" s="39">
        <f>'8 Rozvaha'!G44/'8 Rozvaha'!G$5</f>
        <v>0.1720594990527289</v>
      </c>
      <c r="H29" s="12"/>
      <c r="I29" s="9"/>
      <c r="J29" s="9"/>
      <c r="K29" s="9"/>
    </row>
    <row r="30" spans="1:11" ht="12.75">
      <c r="A30" s="225" t="s">
        <v>60</v>
      </c>
      <c r="B30" s="230" t="s">
        <v>61</v>
      </c>
      <c r="C30" s="71">
        <f>'8 Rozvaha'!C45/'8 Rozvaha'!C$5</f>
        <v>0.08645088690197043</v>
      </c>
      <c r="D30" s="41">
        <f>'8 Rozvaha'!D45/'8 Rozvaha'!D$5</f>
        <v>0.08696528478682362</v>
      </c>
      <c r="E30" s="41">
        <f>'8 Rozvaha'!E45/'8 Rozvaha'!E$5</f>
        <v>0.08845837689523184</v>
      </c>
      <c r="F30" s="41">
        <f>'8 Rozvaha'!F45/'8 Rozvaha'!F$5</f>
        <v>0.15083716379564338</v>
      </c>
      <c r="G30" s="42">
        <f>'8 Rozvaha'!G45/'8 Rozvaha'!G$5</f>
        <v>0.11303171686097242</v>
      </c>
      <c r="H30" s="12"/>
      <c r="I30" s="9"/>
      <c r="J30" s="9"/>
      <c r="K30" s="9"/>
    </row>
    <row r="31" spans="1:11" ht="13.5" thickBot="1">
      <c r="A31" s="232" t="s">
        <v>62</v>
      </c>
      <c r="B31" s="233" t="s">
        <v>452</v>
      </c>
      <c r="C31" s="812">
        <f>'8 Rozvaha'!C46/'8 Rozvaha'!C$5</f>
        <v>0.1289450136885817</v>
      </c>
      <c r="D31" s="52">
        <f>'8 Rozvaha'!D46/'8 Rozvaha'!D$5</f>
        <v>0.10470686495251273</v>
      </c>
      <c r="E31" s="52">
        <f>'8 Rozvaha'!E46/'8 Rozvaha'!E$5</f>
        <v>0.0927323924418531</v>
      </c>
      <c r="F31" s="52">
        <f>'8 Rozvaha'!F46/'8 Rozvaha'!F$5</f>
        <v>0.05347122576371487</v>
      </c>
      <c r="G31" s="53">
        <f>'8 Rozvaha'!G46/'8 Rozvaha'!G$5</f>
        <v>0.0590277821917565</v>
      </c>
      <c r="H31" s="12"/>
      <c r="I31" s="9"/>
      <c r="J31" s="9"/>
      <c r="K31" s="9"/>
    </row>
    <row r="32" spans="1:11" s="1" customFormat="1" ht="13.5" thickBot="1">
      <c r="A32" s="735" t="s">
        <v>19</v>
      </c>
      <c r="B32" s="736" t="s">
        <v>36</v>
      </c>
      <c r="C32" s="822">
        <f>'8 Rozvaha'!C47/'8 Rozvaha'!C$5</f>
        <v>0.05562450092266243</v>
      </c>
      <c r="D32" s="823">
        <f>'8 Rozvaha'!D47/'8 Rozvaha'!D$5</f>
        <v>0.05460509227197224</v>
      </c>
      <c r="E32" s="823">
        <f>'8 Rozvaha'!E47/'8 Rozvaha'!E$5</f>
        <v>0.03203875359986384</v>
      </c>
      <c r="F32" s="823">
        <f>'8 Rozvaha'!F47/'8 Rozvaha'!F$5</f>
        <v>0.021345089357624563</v>
      </c>
      <c r="G32" s="824">
        <f>'8 Rozvaha'!G47/'8 Rozvaha'!G$5</f>
        <v>0.019273717668574848</v>
      </c>
      <c r="H32" s="12"/>
      <c r="I32" s="9"/>
      <c r="J32" s="9"/>
      <c r="K32" s="9"/>
    </row>
    <row r="33" spans="1:7" ht="12.75">
      <c r="A33" s="30"/>
      <c r="B33" s="30"/>
      <c r="C33" s="31"/>
      <c r="D33" s="31"/>
      <c r="E33" s="31"/>
      <c r="F33" s="31"/>
      <c r="G33" s="31"/>
    </row>
    <row r="34" spans="1:7" ht="12.75">
      <c r="A34" s="30"/>
      <c r="B34" s="4"/>
      <c r="C34" s="32"/>
      <c r="D34" s="32"/>
      <c r="E34" s="32"/>
      <c r="F34" s="32"/>
      <c r="G34" s="32"/>
    </row>
    <row r="35" spans="1:7" ht="12.75">
      <c r="A35" s="30"/>
      <c r="B35" s="30"/>
      <c r="C35" s="31"/>
      <c r="D35" s="31"/>
      <c r="E35" s="31"/>
      <c r="F35" s="31"/>
      <c r="G35" s="31"/>
    </row>
  </sheetData>
  <hyperlinks>
    <hyperlink ref="G2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4"/>
  <sheetViews>
    <sheetView showGridLines="0" workbookViewId="0" topLeftCell="A2">
      <pane ySplit="3" topLeftCell="BM5" activePane="bottomLeft" state="frozen"/>
      <selection pane="topLeft" activeCell="A1" sqref="A1:D1"/>
      <selection pane="bottomLeft" activeCell="A2" sqref="A2"/>
    </sheetView>
  </sheetViews>
  <sheetFormatPr defaultColWidth="9.00390625" defaultRowHeight="12.75"/>
  <cols>
    <col min="1" max="1" width="6.875" style="5" customWidth="1"/>
    <col min="2" max="2" width="33.75390625" style="5" customWidth="1"/>
    <col min="3" max="6" width="10.00390625" style="0" customWidth="1"/>
    <col min="7" max="7" width="9.125" style="10" customWidth="1"/>
  </cols>
  <sheetData>
    <row r="2" spans="1:9" s="5" customFormat="1" ht="21" customHeight="1">
      <c r="A2" s="740" t="s">
        <v>647</v>
      </c>
      <c r="F2" s="1248" t="s">
        <v>785</v>
      </c>
      <c r="I2" s="30"/>
    </row>
    <row r="3" spans="1:9" s="5" customFormat="1" ht="21" customHeight="1" thickBot="1">
      <c r="A3" s="741" t="s">
        <v>649</v>
      </c>
      <c r="I3" s="30"/>
    </row>
    <row r="4" spans="1:6" ht="13.5" thickBot="1">
      <c r="A4" s="714"/>
      <c r="B4" s="715" t="s">
        <v>233</v>
      </c>
      <c r="C4" s="743">
        <f>výchozí_rok+1</f>
        <v>1998</v>
      </c>
      <c r="D4" s="717">
        <f>výchozí_rok+2</f>
        <v>1999</v>
      </c>
      <c r="E4" s="717">
        <f>výchozí_rok+3</f>
        <v>2000</v>
      </c>
      <c r="F4" s="814">
        <f>výchozí_rok+4</f>
        <v>2001</v>
      </c>
    </row>
    <row r="5" spans="1:7" s="1" customFormat="1" ht="13.5" thickBot="1">
      <c r="A5" s="719"/>
      <c r="B5" s="720" t="s">
        <v>0</v>
      </c>
      <c r="C5" s="816">
        <f>'8 Rozvaha'!D5/'8 Rozvaha'!C5-1</f>
        <v>0.18568919189878863</v>
      </c>
      <c r="D5" s="817">
        <f>'8 Rozvaha'!E5/'8 Rozvaha'!D5-1</f>
        <v>-0.04572271113792825</v>
      </c>
      <c r="E5" s="817">
        <f>'8 Rozvaha'!F5/'8 Rozvaha'!E5-1</f>
        <v>0.04057357411194529</v>
      </c>
      <c r="F5" s="818">
        <f>'8 Rozvaha'!G5/'8 Rozvaha'!F5-1</f>
        <v>-0.027801080625398322</v>
      </c>
      <c r="G5" s="11"/>
    </row>
    <row r="6" spans="1:10" s="1" customFormat="1" ht="12.75">
      <c r="A6" s="730" t="s">
        <v>2</v>
      </c>
      <c r="B6" s="731" t="s">
        <v>444</v>
      </c>
      <c r="C6" s="819">
        <f>'8 Rozvaha'!D6/'8 Rozvaha'!C6-1</f>
        <v>0.15546143965086334</v>
      </c>
      <c r="D6" s="820">
        <f>'8 Rozvaha'!E6/'8 Rozvaha'!D6-1</f>
        <v>-0.0595718751162877</v>
      </c>
      <c r="E6" s="820">
        <f>'8 Rozvaha'!F6/'8 Rozvaha'!E6-1</f>
        <v>0.03215499290225887</v>
      </c>
      <c r="F6" s="821">
        <f>'8 Rozvaha'!G6/'8 Rozvaha'!F6-1</f>
        <v>-0.06627914777791621</v>
      </c>
      <c r="G6" s="12"/>
      <c r="H6" s="9"/>
      <c r="I6" s="9"/>
      <c r="J6" s="9"/>
    </row>
    <row r="7" spans="1:10" s="1" customFormat="1" ht="12.75">
      <c r="A7" s="236" t="s">
        <v>3</v>
      </c>
      <c r="B7" s="237" t="s">
        <v>4</v>
      </c>
      <c r="C7" s="809">
        <f>'8 Rozvaha'!D7/'8 Rozvaha'!C7-1</f>
        <v>0.5308641975308641</v>
      </c>
      <c r="D7" s="56">
        <f>'8 Rozvaha'!E7/'8 Rozvaha'!D7-1</f>
        <v>0.41330645161290325</v>
      </c>
      <c r="E7" s="56">
        <f>'8 Rozvaha'!F7/'8 Rozvaha'!E7-1</f>
        <v>0.051355206847360835</v>
      </c>
      <c r="F7" s="57">
        <f>'8 Rozvaha'!G7/'8 Rozvaha'!F7-1</f>
        <v>-0.21031207598371782</v>
      </c>
      <c r="G7" s="12"/>
      <c r="H7" s="9"/>
      <c r="I7" s="9"/>
      <c r="J7" s="9"/>
    </row>
    <row r="8" spans="1:10" s="1" customFormat="1" ht="12.75">
      <c r="A8" s="224" t="s">
        <v>5</v>
      </c>
      <c r="B8" s="229" t="s">
        <v>6</v>
      </c>
      <c r="C8" s="69">
        <f>'8 Rozvaha'!D8/'8 Rozvaha'!C8-1</f>
        <v>0.15533933375833353</v>
      </c>
      <c r="D8" s="38">
        <f>'8 Rozvaha'!E8/'8 Rozvaha'!D8-1</f>
        <v>-0.06084610312787875</v>
      </c>
      <c r="E8" s="38">
        <f>'8 Rozvaha'!F8/'8 Rozvaha'!E8-1</f>
        <v>0.012273512614581872</v>
      </c>
      <c r="F8" s="39">
        <f>'8 Rozvaha'!G8/'8 Rozvaha'!F8-1</f>
        <v>-0.06537992366111833</v>
      </c>
      <c r="G8" s="12"/>
      <c r="H8" s="9"/>
      <c r="I8" s="9"/>
      <c r="J8" s="9"/>
    </row>
    <row r="9" spans="1:10" ht="12.75">
      <c r="A9" s="225" t="s">
        <v>7</v>
      </c>
      <c r="B9" s="230" t="s">
        <v>8</v>
      </c>
      <c r="C9" s="71">
        <f>'8 Rozvaha'!D9/'8 Rozvaha'!C9-1</f>
        <v>0</v>
      </c>
      <c r="D9" s="41">
        <f>'8 Rozvaha'!E9/'8 Rozvaha'!D9-1</f>
        <v>0</v>
      </c>
      <c r="E9" s="41">
        <f>'8 Rozvaha'!F9/'8 Rozvaha'!E9-1</f>
        <v>0</v>
      </c>
      <c r="F9" s="42">
        <f>'8 Rozvaha'!G9/'8 Rozvaha'!F9-1</f>
        <v>0</v>
      </c>
      <c r="G9" s="12"/>
      <c r="H9" s="9"/>
      <c r="I9" s="9"/>
      <c r="J9" s="9"/>
    </row>
    <row r="10" spans="1:13" ht="12.75">
      <c r="A10" s="225" t="s">
        <v>9</v>
      </c>
      <c r="B10" s="230" t="s">
        <v>10</v>
      </c>
      <c r="C10" s="71">
        <f>'8 Rozvaha'!D10/'8 Rozvaha'!C10-1</f>
        <v>0.11099141325370265</v>
      </c>
      <c r="D10" s="41">
        <f>'8 Rozvaha'!E10/'8 Rozvaha'!D10-1</f>
        <v>-0.04595380803057536</v>
      </c>
      <c r="E10" s="41">
        <f>'8 Rozvaha'!F10/'8 Rozvaha'!E10-1</f>
        <v>-0.020969170326959774</v>
      </c>
      <c r="F10" s="42">
        <f>'8 Rozvaha'!G10/'8 Rozvaha'!F10-1</f>
        <v>-0.025613317225092413</v>
      </c>
      <c r="G10" s="12"/>
      <c r="H10" s="9"/>
      <c r="I10" s="9"/>
      <c r="J10" s="9"/>
      <c r="K10" s="9"/>
      <c r="L10" s="9"/>
      <c r="M10" s="9"/>
    </row>
    <row r="11" spans="1:12" ht="12.75">
      <c r="A11" s="238" t="s">
        <v>11</v>
      </c>
      <c r="B11" s="239" t="s">
        <v>202</v>
      </c>
      <c r="C11" s="70">
        <f>'8 Rozvaha'!D11/'8 Rozvaha'!C11-1</f>
        <v>0.5828927393603098</v>
      </c>
      <c r="D11" s="60">
        <f>'8 Rozvaha'!E11/'8 Rozvaha'!D11-1</f>
        <v>-0.16231232224353465</v>
      </c>
      <c r="E11" s="60">
        <f>'8 Rozvaha'!F11/'8 Rozvaha'!E11-1</f>
        <v>0.23659692064745363</v>
      </c>
      <c r="F11" s="61">
        <f>'8 Rozvaha'!G11/'8 Rozvaha'!F11-1</f>
        <v>-0.2896593557449797</v>
      </c>
      <c r="G11" s="12"/>
      <c r="H11" s="9"/>
      <c r="I11" s="9"/>
      <c r="J11" s="9"/>
      <c r="K11" s="9"/>
      <c r="L11" s="9"/>
    </row>
    <row r="12" spans="1:10" s="1" customFormat="1" ht="13.5" thickBot="1">
      <c r="A12" s="234" t="s">
        <v>13</v>
      </c>
      <c r="B12" s="235" t="s">
        <v>14</v>
      </c>
      <c r="C12" s="810">
        <f>'8 Rozvaha'!D12/'8 Rozvaha'!C12-1</f>
        <v>0</v>
      </c>
      <c r="D12" s="49">
        <f>'8 Rozvaha'!E12/'8 Rozvaha'!D12-1</f>
        <v>0</v>
      </c>
      <c r="E12" s="49">
        <f>'8 Rozvaha'!F12/'8 Rozvaha'!E12-1</f>
        <v>6.279434850863423</v>
      </c>
      <c r="F12" s="50">
        <f>'8 Rozvaha'!G12/'8 Rozvaha'!F12-1</f>
        <v>-0.08281216303644601</v>
      </c>
      <c r="G12" s="12"/>
      <c r="H12" s="9"/>
      <c r="I12" s="9"/>
      <c r="J12" s="9"/>
    </row>
    <row r="13" spans="1:10" s="1" customFormat="1" ht="12.75">
      <c r="A13" s="730" t="s">
        <v>19</v>
      </c>
      <c r="B13" s="731" t="s">
        <v>20</v>
      </c>
      <c r="C13" s="819">
        <f>'8 Rozvaha'!D15/'8 Rozvaha'!C15-1</f>
        <v>0.2462818857824698</v>
      </c>
      <c r="D13" s="820">
        <f>'8 Rozvaha'!E15/'8 Rozvaha'!D15-1</f>
        <v>-0.015101934798771643</v>
      </c>
      <c r="E13" s="820">
        <f>'8 Rozvaha'!F15/'8 Rozvaha'!E15-1</f>
        <v>0.02926593565965052</v>
      </c>
      <c r="F13" s="821">
        <f>'8 Rozvaha'!G15/'8 Rozvaha'!F15-1</f>
        <v>0.02450374324470861</v>
      </c>
      <c r="G13" s="12"/>
      <c r="H13" s="9"/>
      <c r="I13" s="9"/>
      <c r="J13" s="9"/>
    </row>
    <row r="14" spans="1:10" s="1" customFormat="1" ht="12.75">
      <c r="A14" s="224" t="s">
        <v>21</v>
      </c>
      <c r="B14" s="229" t="s">
        <v>22</v>
      </c>
      <c r="C14" s="69">
        <f>'8 Rozvaha'!D16/'8 Rozvaha'!C16-1</f>
        <v>0.26572011844113796</v>
      </c>
      <c r="D14" s="38">
        <f>'8 Rozvaha'!E16/'8 Rozvaha'!D16-1</f>
        <v>0.006073727495967907</v>
      </c>
      <c r="E14" s="38">
        <f>'8 Rozvaha'!F16/'8 Rozvaha'!E16-1</f>
        <v>0.020869741041898315</v>
      </c>
      <c r="F14" s="39">
        <f>'8 Rozvaha'!G16/'8 Rozvaha'!F16-1</f>
        <v>-0.05517514571897464</v>
      </c>
      <c r="G14" s="12"/>
      <c r="H14" s="9"/>
      <c r="I14" s="9"/>
      <c r="J14" s="9"/>
    </row>
    <row r="15" spans="1:13" ht="12.75">
      <c r="A15" s="225" t="s">
        <v>23</v>
      </c>
      <c r="B15" s="230" t="s">
        <v>24</v>
      </c>
      <c r="C15" s="71">
        <f>'8 Rozvaha'!D17/'8 Rozvaha'!C17-1</f>
        <v>-0.05105105105105101</v>
      </c>
      <c r="D15" s="41">
        <f>'8 Rozvaha'!E17/'8 Rozvaha'!D17-1</f>
        <v>0.07489451476793252</v>
      </c>
      <c r="E15" s="41">
        <f>'8 Rozvaha'!F17/'8 Rozvaha'!E17-1</f>
        <v>0.10794896957801758</v>
      </c>
      <c r="F15" s="42">
        <f>'8 Rozvaha'!G17/'8 Rozvaha'!F17-1</f>
        <v>-0.4286979627989371</v>
      </c>
      <c r="G15" s="12"/>
      <c r="H15" s="9"/>
      <c r="I15" s="9"/>
      <c r="J15" s="9"/>
      <c r="K15" s="9"/>
      <c r="L15" s="9"/>
      <c r="M15" s="9"/>
    </row>
    <row r="16" spans="1:12" ht="12.75">
      <c r="A16" s="238" t="s">
        <v>25</v>
      </c>
      <c r="B16" s="239" t="s">
        <v>26</v>
      </c>
      <c r="C16" s="70">
        <f>'8 Rozvaha'!D18/'8 Rozvaha'!C18-1</f>
        <v>0.2716491175478697</v>
      </c>
      <c r="D16" s="60">
        <f>'8 Rozvaha'!E18/'8 Rozvaha'!D18-1</f>
        <v>0.0051124895024530215</v>
      </c>
      <c r="E16" s="60">
        <f>'8 Rozvaha'!F18/'8 Rozvaha'!E18-1</f>
        <v>0.019569041336851445</v>
      </c>
      <c r="F16" s="61">
        <f>'8 Rozvaha'!G18/'8 Rozvaha'!F18-1</f>
        <v>-0.049112213356336754</v>
      </c>
      <c r="G16" s="12"/>
      <c r="H16" s="9"/>
      <c r="I16" s="9"/>
      <c r="J16" s="9"/>
      <c r="K16" s="9"/>
      <c r="L16" s="9"/>
    </row>
    <row r="17" spans="1:10" s="1" customFormat="1" ht="12.75">
      <c r="A17" s="236" t="s">
        <v>29</v>
      </c>
      <c r="B17" s="237" t="s">
        <v>232</v>
      </c>
      <c r="C17" s="68">
        <f>'8 Rozvaha'!D20/'8 Rozvaha'!C20-1</f>
        <v>0.008679927667269549</v>
      </c>
      <c r="D17" s="62">
        <f>'8 Rozvaha'!E20/'8 Rozvaha'!D20-1</f>
        <v>0.04562567228397274</v>
      </c>
      <c r="E17" s="62">
        <f>'8 Rozvaha'!F20/'8 Rozvaha'!E20-1</f>
        <v>0.007972567509644257</v>
      </c>
      <c r="F17" s="63">
        <f>'8 Rozvaha'!G20/'8 Rozvaha'!F20-1</f>
        <v>0.2571440721211091</v>
      </c>
      <c r="G17" s="12"/>
      <c r="H17" s="9"/>
      <c r="I17" s="9"/>
      <c r="J17" s="9"/>
    </row>
    <row r="18" spans="1:10" s="1" customFormat="1" ht="13.5" thickBot="1">
      <c r="A18" s="234" t="s">
        <v>32</v>
      </c>
      <c r="B18" s="808" t="s">
        <v>34</v>
      </c>
      <c r="C18" s="811">
        <f>'8 Rozvaha'!D22/'8 Rozvaha'!C22-1</f>
        <v>0.8988989485300438</v>
      </c>
      <c r="D18" s="66">
        <f>'8 Rozvaha'!E22/'8 Rozvaha'!D22-1</f>
        <v>-0.24529195281647742</v>
      </c>
      <c r="E18" s="66">
        <f>'8 Rozvaha'!F22/'8 Rozvaha'!E22-1</f>
        <v>0.14619290442843247</v>
      </c>
      <c r="F18" s="67">
        <f>'8 Rozvaha'!G22/'8 Rozvaha'!F22-1</f>
        <v>0.03976173165836561</v>
      </c>
      <c r="G18" s="12"/>
      <c r="H18" s="9"/>
      <c r="I18" s="9"/>
      <c r="J18" s="9"/>
    </row>
    <row r="19" spans="1:10" s="1" customFormat="1" ht="13.5" thickBot="1">
      <c r="A19" s="735" t="s">
        <v>35</v>
      </c>
      <c r="B19" s="736" t="s">
        <v>36</v>
      </c>
      <c r="C19" s="822">
        <f>'8 Rozvaha'!D25/'8 Rozvaha'!C25-1</f>
        <v>0.7432558139534884</v>
      </c>
      <c r="D19" s="823">
        <f>'8 Rozvaha'!E25/'8 Rozvaha'!D25-1</f>
        <v>-0.14567769477054426</v>
      </c>
      <c r="E19" s="823">
        <f>'8 Rozvaha'!F25/'8 Rozvaha'!E25-1</f>
        <v>1.8226108682073705</v>
      </c>
      <c r="F19" s="824">
        <f>'8 Rozvaha'!G25/'8 Rozvaha'!F25-1</f>
        <v>0.5364018588183226</v>
      </c>
      <c r="G19" s="12"/>
      <c r="H19" s="9"/>
      <c r="I19" s="9"/>
      <c r="J19" s="9"/>
    </row>
    <row r="20" spans="1:10" ht="13.5" thickBot="1">
      <c r="A20" s="225"/>
      <c r="B20" s="813"/>
      <c r="C20" s="29"/>
      <c r="D20" s="29"/>
      <c r="E20" s="29"/>
      <c r="F20" s="29"/>
      <c r="G20" s="12"/>
      <c r="H20" s="9"/>
      <c r="I20" s="9"/>
      <c r="J20" s="9"/>
    </row>
    <row r="21" spans="1:10" ht="13.5" thickBot="1">
      <c r="A21" s="815"/>
      <c r="B21" s="715" t="s">
        <v>234</v>
      </c>
      <c r="C21" s="743">
        <f>výchozí_rok+1</f>
        <v>1998</v>
      </c>
      <c r="D21" s="717">
        <f>výchozí_rok+2</f>
        <v>1999</v>
      </c>
      <c r="E21" s="717">
        <f>výchozí_rok+3</f>
        <v>2000</v>
      </c>
      <c r="F21" s="814">
        <f>výchozí_rok+4</f>
        <v>2001</v>
      </c>
      <c r="G21" s="12"/>
      <c r="H21" s="9"/>
      <c r="I21" s="9"/>
      <c r="J21" s="9"/>
    </row>
    <row r="22" spans="1:10" s="1" customFormat="1" ht="13.5" thickBot="1">
      <c r="A22" s="724"/>
      <c r="B22" s="720" t="s">
        <v>37</v>
      </c>
      <c r="C22" s="816">
        <f>'8 Rozvaha'!D27/'8 Rozvaha'!C27-1</f>
        <v>0.18568919189878885</v>
      </c>
      <c r="D22" s="817">
        <f>'8 Rozvaha'!E27/'8 Rozvaha'!D27-1</f>
        <v>-0.04572271113792825</v>
      </c>
      <c r="E22" s="817">
        <f>'8 Rozvaha'!F27/'8 Rozvaha'!E27-1</f>
        <v>0.04057357411194529</v>
      </c>
      <c r="F22" s="818">
        <f>'8 Rozvaha'!G27/'8 Rozvaha'!F27-1</f>
        <v>-0.027801080625398322</v>
      </c>
      <c r="G22" s="12"/>
      <c r="H22" s="9"/>
      <c r="I22" s="9"/>
      <c r="J22" s="9"/>
    </row>
    <row r="23" spans="1:10" s="1" customFormat="1" ht="13.5" thickBot="1">
      <c r="A23" s="735" t="s">
        <v>1</v>
      </c>
      <c r="B23" s="736" t="s">
        <v>38</v>
      </c>
      <c r="C23" s="825">
        <f>'8 Rozvaha'!D28/'8 Rozvaha'!C28-1</f>
        <v>0.04174220850691124</v>
      </c>
      <c r="D23" s="826">
        <f>'8 Rozvaha'!E28/'8 Rozvaha'!D28-1</f>
        <v>-0.03185302742040508</v>
      </c>
      <c r="E23" s="826">
        <f>'8 Rozvaha'!F28/'8 Rozvaha'!E28-1</f>
        <v>0.04457232936990785</v>
      </c>
      <c r="F23" s="827">
        <f>'8 Rozvaha'!G28/'8 Rozvaha'!F28-1</f>
        <v>0.04096806055485436</v>
      </c>
      <c r="G23" s="13"/>
      <c r="H23" s="9"/>
      <c r="I23" s="9"/>
      <c r="J23" s="9"/>
    </row>
    <row r="24" spans="1:10" s="1" customFormat="1" ht="12.75">
      <c r="A24" s="730" t="s">
        <v>2</v>
      </c>
      <c r="B24" s="731" t="s">
        <v>50</v>
      </c>
      <c r="C24" s="819">
        <f>'8 Rozvaha'!D35/'8 Rozvaha'!C35-1</f>
        <v>0.33874873702949326</v>
      </c>
      <c r="D24" s="820">
        <f>'8 Rozvaha'!E35/'8 Rozvaha'!D35-1</f>
        <v>-0.01569931117100931</v>
      </c>
      <c r="E24" s="820">
        <f>'8 Rozvaha'!F35/'8 Rozvaha'!E35-1</f>
        <v>0.058066439885838816</v>
      </c>
      <c r="F24" s="821">
        <f>'8 Rozvaha'!G35/'8 Rozvaha'!F35-1</f>
        <v>-0.0784259594757033</v>
      </c>
      <c r="G24" s="12"/>
      <c r="H24" s="9"/>
      <c r="I24" s="9"/>
      <c r="J24" s="9"/>
    </row>
    <row r="25" spans="1:10" s="1" customFormat="1" ht="12.75">
      <c r="A25" s="236" t="s">
        <v>3</v>
      </c>
      <c r="B25" s="237" t="s">
        <v>51</v>
      </c>
      <c r="C25" s="68"/>
      <c r="D25" s="62"/>
      <c r="E25" s="62">
        <f>'8 Rozvaha'!F36/'8 Rozvaha'!E36-1</f>
        <v>-0.5776503080518377</v>
      </c>
      <c r="F25" s="63">
        <f>'8 Rozvaha'!G36/'8 Rozvaha'!F36-1</f>
        <v>0.27515090543259557</v>
      </c>
      <c r="G25" s="12"/>
      <c r="H25" s="9"/>
      <c r="I25" s="9"/>
      <c r="J25" s="9"/>
    </row>
    <row r="26" spans="1:10" s="1" customFormat="1" ht="12.75">
      <c r="A26" s="236" t="s">
        <v>5</v>
      </c>
      <c r="B26" s="237" t="s">
        <v>231</v>
      </c>
      <c r="C26" s="68">
        <f>'8 Rozvaha'!D37/'8 Rozvaha'!C37-1</f>
        <v>1.7146787728710966</v>
      </c>
      <c r="D26" s="62">
        <f>'8 Rozvaha'!E37/'8 Rozvaha'!D37-1</f>
        <v>-0.2679268230882278</v>
      </c>
      <c r="E26" s="62">
        <f>'8 Rozvaha'!F37/'8 Rozvaha'!E37-1</f>
        <v>-0.28250034611657204</v>
      </c>
      <c r="F26" s="63">
        <f>'8 Rozvaha'!G37/'8 Rozvaha'!F37-1</f>
        <v>-0.38398456343463583</v>
      </c>
      <c r="G26" s="12"/>
      <c r="H26" s="9"/>
      <c r="I26" s="9"/>
      <c r="J26" s="9"/>
    </row>
    <row r="27" spans="1:10" s="1" customFormat="1" ht="12.75">
      <c r="A27" s="224" t="s">
        <v>13</v>
      </c>
      <c r="B27" s="229" t="s">
        <v>53</v>
      </c>
      <c r="C27" s="69">
        <f>'8 Rozvaha'!D39/'8 Rozvaha'!C39-1</f>
        <v>0.41625187709855394</v>
      </c>
      <c r="D27" s="38">
        <f>'8 Rozvaha'!E39/'8 Rozvaha'!D39-1</f>
        <v>0.06996914352430994</v>
      </c>
      <c r="E27" s="38">
        <f>'8 Rozvaha'!F39/'8 Rozvaha'!E39-1</f>
        <v>0.0751029952121145</v>
      </c>
      <c r="F27" s="39">
        <f>'8 Rozvaha'!G39/'8 Rozvaha'!F39-1</f>
        <v>0.01628087618455809</v>
      </c>
      <c r="G27" s="12"/>
      <c r="H27" s="9"/>
      <c r="I27" s="9"/>
      <c r="J27" s="9"/>
    </row>
    <row r="28" spans="1:10" ht="12.75">
      <c r="A28" s="238" t="s">
        <v>15</v>
      </c>
      <c r="B28" s="239" t="s">
        <v>453</v>
      </c>
      <c r="C28" s="70">
        <f>'8 Rozvaha'!D40/'8 Rozvaha'!C40-1</f>
        <v>0.3985071381984202</v>
      </c>
      <c r="D28" s="60">
        <f>'8 Rozvaha'!E40/'8 Rozvaha'!D40-1</f>
        <v>0.03575500051818836</v>
      </c>
      <c r="E28" s="60">
        <f>'8 Rozvaha'!F40/'8 Rozvaha'!E40-1</f>
        <v>0.15624374624774862</v>
      </c>
      <c r="F28" s="61">
        <f>'8 Rozvaha'!G40/'8 Rozvaha'!F40-1</f>
        <v>0.049803124053481085</v>
      </c>
      <c r="G28" s="12"/>
      <c r="H28" s="9"/>
      <c r="I28" s="9"/>
      <c r="J28" s="9"/>
    </row>
    <row r="29" spans="1:10" s="1" customFormat="1" ht="12.75">
      <c r="A29" s="224" t="s">
        <v>58</v>
      </c>
      <c r="B29" s="229" t="s">
        <v>59</v>
      </c>
      <c r="C29" s="69">
        <f>'8 Rozvaha'!D44/'8 Rozvaha'!C44-1</f>
        <v>0.055097129104349385</v>
      </c>
      <c r="D29" s="38">
        <f>'8 Rozvaha'!E44/'8 Rozvaha'!D44-1</f>
        <v>-0.09790631364562119</v>
      </c>
      <c r="E29" s="38">
        <f>'8 Rozvaha'!F44/'8 Rozvaha'!E44-1</f>
        <v>0.17333742730195434</v>
      </c>
      <c r="F29" s="39">
        <f>'8 Rozvaha'!G44/'8 Rozvaha'!F44-1</f>
        <v>-0.18125702322860704</v>
      </c>
      <c r="G29" s="12"/>
      <c r="H29" s="9"/>
      <c r="I29" s="9"/>
      <c r="J29" s="9"/>
    </row>
    <row r="30" spans="1:10" ht="12.75">
      <c r="A30" s="225" t="s">
        <v>60</v>
      </c>
      <c r="B30" s="230" t="s">
        <v>61</v>
      </c>
      <c r="C30" s="71">
        <f>'8 Rozvaha'!D45/'8 Rozvaha'!C45-1</f>
        <v>0.1927442497965477</v>
      </c>
      <c r="D30" s="41">
        <f>'8 Rozvaha'!E45/'8 Rozvaha'!D45-1</f>
        <v>-0.029338887492369015</v>
      </c>
      <c r="E30" s="41">
        <f>'8 Rozvaha'!F45/'8 Rozvaha'!E45-1</f>
        <v>0.774361820199778</v>
      </c>
      <c r="F30" s="42">
        <f>'8 Rozvaha'!G45/'8 Rozvaha'!F45-1</f>
        <v>-0.27147056983799334</v>
      </c>
      <c r="G30" s="12"/>
      <c r="H30" s="9"/>
      <c r="I30" s="9"/>
      <c r="J30" s="9"/>
    </row>
    <row r="31" spans="1:10" ht="13.5" thickBot="1">
      <c r="A31" s="232" t="s">
        <v>62</v>
      </c>
      <c r="B31" s="233" t="s">
        <v>452</v>
      </c>
      <c r="C31" s="812">
        <f>'8 Rozvaha'!D46/'8 Rozvaha'!C46-1</f>
        <v>-0.037188065359101796</v>
      </c>
      <c r="D31" s="52">
        <f>'8 Rozvaha'!E46/'8 Rozvaha'!D46-1</f>
        <v>-0.1548556430446194</v>
      </c>
      <c r="E31" s="52">
        <f>'8 Rozvaha'!F46/'8 Rozvaha'!E46-1</f>
        <v>-0.39998588368153587</v>
      </c>
      <c r="F31" s="53">
        <f>'8 Rozvaha'!G46/'8 Rozvaha'!F46-1</f>
        <v>0.07322667921421</v>
      </c>
      <c r="G31" s="12"/>
      <c r="H31" s="9"/>
      <c r="I31" s="9"/>
      <c r="J31" s="9"/>
    </row>
    <row r="32" spans="1:10" s="1" customFormat="1" ht="13.5" thickBot="1">
      <c r="A32" s="735" t="s">
        <v>19</v>
      </c>
      <c r="B32" s="736" t="s">
        <v>36</v>
      </c>
      <c r="C32" s="822">
        <f>'8 Rozvaha'!D47/'8 Rozvaha'!C47-1</f>
        <v>0.16395952602849162</v>
      </c>
      <c r="D32" s="823">
        <f>'8 Rozvaha'!E47/'8 Rozvaha'!D47-1</f>
        <v>-0.4400915070060052</v>
      </c>
      <c r="E32" s="823">
        <f>'8 Rozvaha'!F47/'8 Rozvaha'!E47-1</f>
        <v>-0.30674157303370786</v>
      </c>
      <c r="F32" s="824">
        <f>'8 Rozvaha'!G47/'8 Rozvaha'!F47-1</f>
        <v>-0.12214527773684991</v>
      </c>
      <c r="G32" s="12"/>
      <c r="H32" s="9"/>
      <c r="I32" s="9"/>
      <c r="J32" s="9"/>
    </row>
    <row r="34" spans="2:6" ht="12.75">
      <c r="B34" s="4"/>
      <c r="C34" s="7"/>
      <c r="D34" s="7"/>
      <c r="E34" s="7"/>
      <c r="F34" s="7"/>
    </row>
  </sheetData>
  <hyperlinks>
    <hyperlink ref="F2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625" style="5" bestFit="1" customWidth="1"/>
    <col min="2" max="2" width="2.875" style="5" customWidth="1"/>
    <col min="3" max="3" width="39.00390625" style="5" bestFit="1" customWidth="1"/>
    <col min="4" max="8" width="9.75390625" style="0" bestFit="1" customWidth="1"/>
  </cols>
  <sheetData>
    <row r="1" spans="1:9" s="5" customFormat="1" ht="21" customHeight="1">
      <c r="A1" s="740" t="s">
        <v>647</v>
      </c>
      <c r="H1" s="1248" t="s">
        <v>785</v>
      </c>
      <c r="I1" s="30"/>
    </row>
    <row r="2" spans="1:9" s="5" customFormat="1" ht="21" customHeight="1" thickBot="1">
      <c r="A2" s="741" t="s">
        <v>656</v>
      </c>
      <c r="I2" s="30"/>
    </row>
    <row r="3" spans="1:10" ht="13.5" thickBot="1">
      <c r="A3" s="714"/>
      <c r="B3" s="742"/>
      <c r="C3" s="715" t="s">
        <v>236</v>
      </c>
      <c r="D3" s="716">
        <f>výchozí_rok</f>
        <v>1997</v>
      </c>
      <c r="E3" s="717">
        <f>výchozí_rok+1</f>
        <v>1998</v>
      </c>
      <c r="F3" s="717">
        <f>výchozí_rok+2</f>
        <v>1999</v>
      </c>
      <c r="G3" s="717">
        <f>výchozí_rok+3</f>
        <v>2000</v>
      </c>
      <c r="H3" s="814">
        <f>výchozí_rok+4</f>
        <v>2001</v>
      </c>
      <c r="I3" s="30"/>
      <c r="J3" s="30"/>
    </row>
    <row r="4" spans="1:10" ht="12.75">
      <c r="A4" s="828" t="s">
        <v>64</v>
      </c>
      <c r="B4" s="829"/>
      <c r="C4" s="830" t="s">
        <v>65</v>
      </c>
      <c r="D4" s="40">
        <f>'9 Výsledovka'!D4/'9 Výsledovka'!D$4</f>
        <v>1</v>
      </c>
      <c r="E4" s="41">
        <f>'9 Výsledovka'!E4/'9 Výsledovka'!E$4</f>
        <v>1</v>
      </c>
      <c r="F4" s="41">
        <f>'9 Výsledovka'!F4/'9 Výsledovka'!F$4</f>
        <v>1</v>
      </c>
      <c r="G4" s="41">
        <f>'9 Výsledovka'!G4/'9 Výsledovka'!G$4</f>
        <v>1</v>
      </c>
      <c r="H4" s="42">
        <f>'9 Výsledovka'!H4/'9 Výsledovka'!H$4</f>
        <v>1</v>
      </c>
      <c r="I4" s="30"/>
      <c r="J4" s="30"/>
    </row>
    <row r="5" spans="1:10" ht="12.75">
      <c r="A5" s="238"/>
      <c r="B5" s="2" t="s">
        <v>1</v>
      </c>
      <c r="C5" s="239" t="s">
        <v>66</v>
      </c>
      <c r="D5" s="59">
        <f>'9 Výsledovka'!D5/'9 Výsledovka'!D$4</f>
        <v>0.8437237322351758</v>
      </c>
      <c r="E5" s="60">
        <f>'9 Výsledovka'!E5/'9 Výsledovka'!E$4</f>
        <v>0.865209148070382</v>
      </c>
      <c r="F5" s="60">
        <f>'9 Výsledovka'!F5/'9 Výsledovka'!F$4</f>
        <v>0.8689038871642449</v>
      </c>
      <c r="G5" s="60">
        <f>'9 Výsledovka'!G5/'9 Výsledovka'!G$4</f>
        <v>0.8607314000839771</v>
      </c>
      <c r="H5" s="61">
        <f>'9 Výsledovka'!H5/'9 Výsledovka'!H$4</f>
        <v>0.8609879480178453</v>
      </c>
      <c r="I5" s="30"/>
      <c r="J5" s="30"/>
    </row>
    <row r="6" spans="1:10" s="1" customFormat="1" ht="12.75">
      <c r="A6" s="223" t="s">
        <v>67</v>
      </c>
      <c r="B6" s="8"/>
      <c r="C6" s="228" t="s">
        <v>68</v>
      </c>
      <c r="D6" s="37">
        <f>'9 Výsledovka'!D6/'9 Výsledovka'!D$4</f>
        <v>0.15627626776482423</v>
      </c>
      <c r="E6" s="38">
        <f>'9 Výsledovka'!E6/'9 Výsledovka'!E$4</f>
        <v>0.13479085192961804</v>
      </c>
      <c r="F6" s="38">
        <f>'9 Výsledovka'!F6/'9 Výsledovka'!F$4</f>
        <v>0.13109611283575506</v>
      </c>
      <c r="G6" s="38">
        <f>'9 Výsledovka'!G6/'9 Výsledovka'!G$4</f>
        <v>0.13926859991602294</v>
      </c>
      <c r="H6" s="39">
        <f>'9 Výsledovka'!H6/'9 Výsledovka'!H$4</f>
        <v>0.13901205198215474</v>
      </c>
      <c r="I6" s="73"/>
      <c r="J6" s="73"/>
    </row>
    <row r="7" spans="1:10" ht="12.75">
      <c r="A7" s="238"/>
      <c r="B7" s="2" t="s">
        <v>69</v>
      </c>
      <c r="C7" s="239" t="s">
        <v>70</v>
      </c>
      <c r="D7" s="59">
        <f>'9 Výsledovka'!D7/'9 Výsledovka'!D$4</f>
        <v>0.020473747170896603</v>
      </c>
      <c r="E7" s="60">
        <f>'9 Výsledovka'!E7/'9 Výsledovka'!E$4</f>
        <v>0.016447171082046262</v>
      </c>
      <c r="F7" s="60">
        <f>'9 Výsledovka'!F7/'9 Výsledovka'!F$4</f>
        <v>0.013720655726248596</v>
      </c>
      <c r="G7" s="60">
        <f>'9 Výsledovka'!G7/'9 Výsledovka'!G$4</f>
        <v>0.015446333557716446</v>
      </c>
      <c r="H7" s="61">
        <f>'9 Výsledovka'!H7/'9 Výsledovka'!H$4</f>
        <v>0.01646368943269455</v>
      </c>
      <c r="I7" s="30"/>
      <c r="J7" s="30"/>
    </row>
    <row r="8" spans="1:10" s="1" customFormat="1" ht="12.75">
      <c r="A8" s="223" t="s">
        <v>67</v>
      </c>
      <c r="B8" s="8"/>
      <c r="C8" s="228" t="s">
        <v>71</v>
      </c>
      <c r="D8" s="37">
        <f>'9 Výsledovka'!D8/'9 Výsledovka'!D$4</f>
        <v>0.1358025205939276</v>
      </c>
      <c r="E8" s="38">
        <f>'9 Výsledovka'!E8/'9 Výsledovka'!E$4</f>
        <v>0.11834368084757178</v>
      </c>
      <c r="F8" s="38">
        <f>'9 Výsledovka'!F8/'9 Výsledovka'!F$4</f>
        <v>0.11737545710950646</v>
      </c>
      <c r="G8" s="38">
        <f>'9 Výsledovka'!G8/'9 Výsledovka'!G$4</f>
        <v>0.12382226635830651</v>
      </c>
      <c r="H8" s="39">
        <f>'9 Výsledovka'!H8/'9 Výsledovka'!H$4</f>
        <v>0.1225483625494602</v>
      </c>
      <c r="I8" s="73"/>
      <c r="J8" s="73"/>
    </row>
    <row r="9" spans="1:10" ht="12.75">
      <c r="A9" s="225"/>
      <c r="B9" s="3" t="s">
        <v>19</v>
      </c>
      <c r="C9" s="230" t="s">
        <v>72</v>
      </c>
      <c r="D9" s="74">
        <f>'9 Výsledovka'!D9/'9 Výsledovka'!D$4</f>
        <v>0.07909263064587614</v>
      </c>
      <c r="E9" s="75">
        <f>'9 Výsledovka'!E9/'9 Výsledovka'!E$4</f>
        <v>0.06709264090824198</v>
      </c>
      <c r="F9" s="75">
        <f>'9 Výsledovka'!F9/'9 Výsledovka'!F$4</f>
        <v>0.06718322270255042</v>
      </c>
      <c r="G9" s="75">
        <f>'9 Výsledovka'!G9/'9 Výsledovka'!G$4</f>
        <v>0.06979425623662866</v>
      </c>
      <c r="H9" s="76">
        <f>'9 Výsledovka'!H9/'9 Výsledovka'!H$4</f>
        <v>0.06843740072339334</v>
      </c>
      <c r="I9" s="30"/>
      <c r="J9" s="30"/>
    </row>
    <row r="10" spans="1:10" ht="12.75">
      <c r="A10" s="225"/>
      <c r="B10" s="3" t="s">
        <v>35</v>
      </c>
      <c r="C10" s="230" t="s">
        <v>76</v>
      </c>
      <c r="D10" s="40">
        <f>'9 Výsledovka'!D12/'9 Výsledovka'!D$4</f>
        <v>0.003633200926431502</v>
      </c>
      <c r="E10" s="41">
        <f>'9 Výsledovka'!E12/'9 Výsledovka'!E$4</f>
        <v>0.002448314307867318</v>
      </c>
      <c r="F10" s="41">
        <f>'9 Výsledovka'!F12/'9 Výsledovka'!F$4</f>
        <v>0.0029503968622278227</v>
      </c>
      <c r="G10" s="41">
        <f>'9 Výsledovka'!G12/'9 Výsledovka'!G$4</f>
        <v>0.0038533911841874334</v>
      </c>
      <c r="H10" s="42">
        <f>'9 Výsledovka'!H12/'9 Výsledovka'!H$4</f>
        <v>0.002168913506262408</v>
      </c>
      <c r="I10" s="30"/>
      <c r="J10" s="30"/>
    </row>
    <row r="11" spans="1:10" ht="12.75">
      <c r="A11" s="225"/>
      <c r="B11" s="3" t="s">
        <v>77</v>
      </c>
      <c r="C11" s="230" t="s">
        <v>235</v>
      </c>
      <c r="D11" s="40">
        <f>'9 Výsledovka'!D13/'9 Výsledovka'!D$4</f>
        <v>0.016875280478943412</v>
      </c>
      <c r="E11" s="41">
        <f>'9 Výsledovka'!E13/'9 Výsledovka'!E$4</f>
        <v>0.013071259189667955</v>
      </c>
      <c r="F11" s="41">
        <f>'9 Výsledovka'!F13/'9 Výsledovka'!F$4</f>
        <v>0.020004171175430685</v>
      </c>
      <c r="G11" s="41">
        <f>'9 Výsledovka'!G13/'9 Výsledovka'!G$4</f>
        <v>0.020166709988158792</v>
      </c>
      <c r="H11" s="42">
        <f>'9 Výsledovka'!H13/'9 Výsledovka'!H$4</f>
        <v>0.018666376774577588</v>
      </c>
      <c r="I11" s="30"/>
      <c r="J11" s="30"/>
    </row>
    <row r="12" spans="1:14" ht="12.75">
      <c r="A12" s="238"/>
      <c r="B12" s="2"/>
      <c r="C12" s="230" t="s">
        <v>237</v>
      </c>
      <c r="D12" s="40">
        <f>'9 Výsledovka'!D16/'9 Výsledovka'!D$4</f>
        <v>0.0004209789218771492</v>
      </c>
      <c r="E12" s="41">
        <f>'9 Výsledovka'!E16/'9 Výsledovka'!E$4</f>
        <v>-0.0021562823654587334</v>
      </c>
      <c r="F12" s="41">
        <f>'9 Výsledovka'!F16/'9 Výsledovka'!F$4</f>
        <v>-0.0030595899363295184</v>
      </c>
      <c r="G12" s="41">
        <f>'9 Výsledovka'!G16/'9 Výsledovka'!G$4</f>
        <v>0.003020285566389631</v>
      </c>
      <c r="H12" s="42">
        <f>'9 Výsledovka'!H16/'9 Výsledovka'!H$4</f>
        <v>-0.0005773215026401641</v>
      </c>
      <c r="I12" s="30"/>
      <c r="J12" s="348"/>
      <c r="K12" s="27"/>
      <c r="L12" s="27"/>
      <c r="M12" s="27"/>
      <c r="N12" s="27"/>
    </row>
    <row r="13" spans="1:14" s="1" customFormat="1" ht="13.5" thickBot="1">
      <c r="A13" s="226" t="s">
        <v>82</v>
      </c>
      <c r="B13" s="242"/>
      <c r="C13" s="246" t="s">
        <v>83</v>
      </c>
      <c r="D13" s="65">
        <f>'9 Výsledovka'!D17/'9 Výsledovka'!D$4</f>
        <v>0.036622387464553714</v>
      </c>
      <c r="E13" s="66">
        <f>'9 Výsledovka'!E17/'9 Výsledovka'!E$4</f>
        <v>0.03357518407633579</v>
      </c>
      <c r="F13" s="66">
        <f>'9 Výsledovka'!F17/'9 Výsledovka'!F$4</f>
        <v>0.02417807643296801</v>
      </c>
      <c r="G13" s="66">
        <f>'9 Výsledovka'!G17/'9 Výsledovka'!G$4</f>
        <v>0.03786798275138129</v>
      </c>
      <c r="H13" s="67">
        <f>'9 Výsledovka'!H17/'9 Výsledovka'!H$4</f>
        <v>0.0326983500425867</v>
      </c>
      <c r="I13" s="73"/>
      <c r="J13" s="350"/>
      <c r="K13" s="350"/>
      <c r="L13" s="350"/>
      <c r="M13" s="350"/>
      <c r="N13" s="350"/>
    </row>
    <row r="14" spans="1:10" ht="12.75">
      <c r="A14" s="828" t="s">
        <v>81</v>
      </c>
      <c r="B14" s="829"/>
      <c r="C14" s="830" t="s">
        <v>84</v>
      </c>
      <c r="D14" s="40">
        <f>'9 Výsledovka'!D18/'9 Výsledovka'!D$4</f>
        <v>4.4251414725370304E-05</v>
      </c>
      <c r="E14" s="41">
        <f>'9 Výsledovka'!E18/'9 Výsledovka'!E$4</f>
        <v>3.605123009966439E-05</v>
      </c>
      <c r="F14" s="41">
        <f>'9 Výsledovka'!F18/'9 Výsledovka'!F$4</f>
        <v>3.477799410139014E-05</v>
      </c>
      <c r="G14" s="41">
        <f>'9 Výsledovka'!G18/'9 Výsledovka'!G$4</f>
        <v>3.5379218569146656E-05</v>
      </c>
      <c r="H14" s="42">
        <f>'9 Výsledovka'!H18/'9 Výsledovka'!H$4</f>
        <v>3.361552076615946E-05</v>
      </c>
      <c r="I14" s="30"/>
      <c r="J14" s="30"/>
    </row>
    <row r="15" spans="1:10" ht="12.75">
      <c r="A15" s="225" t="s">
        <v>85</v>
      </c>
      <c r="B15" s="3"/>
      <c r="C15" s="230" t="s">
        <v>87</v>
      </c>
      <c r="D15" s="40">
        <f>'9 Výsledovka'!D19/'9 Výsledovka'!D$4</f>
        <v>0.00037860315581360776</v>
      </c>
      <c r="E15" s="41">
        <f>'9 Výsledovka'!E19/'9 Výsledovka'!E$4</f>
        <v>0.0004369510959687125</v>
      </c>
      <c r="F15" s="41">
        <f>'9 Výsledovka'!F19/'9 Výsledovka'!F$4</f>
        <v>0.0006670185049502668</v>
      </c>
      <c r="G15" s="41">
        <f>'9 Výsledovka'!G19/'9 Výsledovka'!G$4</f>
        <v>0.00030726409947947486</v>
      </c>
      <c r="H15" s="42">
        <f>'9 Výsledovka'!H19/'9 Výsledovka'!H$4</f>
        <v>0.0002230847507227068</v>
      </c>
      <c r="I15" s="30"/>
      <c r="J15" s="30"/>
    </row>
    <row r="16" spans="1:10" ht="12.75">
      <c r="A16" s="238"/>
      <c r="B16" s="2" t="s">
        <v>88</v>
      </c>
      <c r="C16" s="230" t="s">
        <v>89</v>
      </c>
      <c r="D16" s="40">
        <f>'9 Výsledovka'!D20/'9 Výsledovka'!D$4</f>
        <v>0.016024986418914318</v>
      </c>
      <c r="E16" s="41">
        <f>'9 Výsledovka'!E20/'9 Výsledovka'!E$4</f>
        <v>0.013334993463238498</v>
      </c>
      <c r="F16" s="41">
        <f>'9 Výsledovka'!F20/'9 Výsledovka'!F$4</f>
        <v>0.011720784574076035</v>
      </c>
      <c r="G16" s="41">
        <f>'9 Výsledovka'!G20/'9 Výsledovka'!G$4</f>
        <v>0.008696511842318655</v>
      </c>
      <c r="H16" s="42">
        <f>'9 Výsledovka'!H20/'9 Výsledovka'!H$4</f>
        <v>0.0074070243245496735</v>
      </c>
      <c r="I16" s="30"/>
      <c r="J16" s="30"/>
    </row>
    <row r="17" spans="1:10" s="1" customFormat="1" ht="13.5" thickBot="1">
      <c r="A17" s="226" t="s">
        <v>82</v>
      </c>
      <c r="B17" s="242"/>
      <c r="C17" s="246" t="s">
        <v>90</v>
      </c>
      <c r="D17" s="65">
        <f>'9 Výsledovka'!D21/'9 Výsledovka'!D$4</f>
        <v>-0.01560213184837534</v>
      </c>
      <c r="E17" s="66">
        <f>'9 Výsledovka'!E21/'9 Výsledovka'!E$4</f>
        <v>-0.01286199113717012</v>
      </c>
      <c r="F17" s="66">
        <f>'9 Výsledovka'!F21/'9 Výsledovka'!F$4</f>
        <v>-0.01101898807502438</v>
      </c>
      <c r="G17" s="66">
        <f>'9 Výsledovka'!G21/'9 Výsledovka'!G$4</f>
        <v>-0.008353868524270034</v>
      </c>
      <c r="H17" s="67">
        <f>'9 Výsledovka'!H21/'9 Výsledovka'!H$4</f>
        <v>-0.007150324053060807</v>
      </c>
      <c r="I17" s="73"/>
      <c r="J17" s="73"/>
    </row>
    <row r="18" spans="1:10" ht="12.75">
      <c r="A18" s="832"/>
      <c r="B18" s="833" t="s">
        <v>463</v>
      </c>
      <c r="C18" s="830" t="s">
        <v>92</v>
      </c>
      <c r="D18" s="40">
        <f>'9 Výsledovka'!D22/'9 Výsledovka'!D$4</f>
        <v>0.00379297840503174</v>
      </c>
      <c r="E18" s="41">
        <f>'9 Výsledovka'!E22/'9 Výsledovka'!E$4</f>
        <v>0.005988918632883023</v>
      </c>
      <c r="F18" s="41">
        <f>'9 Výsledovka'!F22/'9 Výsledovka'!F$4</f>
        <v>0.0037922754635518977</v>
      </c>
      <c r="G18" s="41">
        <f>'9 Výsledovka'!G22/'9 Výsledovka'!G$4</f>
        <v>0.007415750805890835</v>
      </c>
      <c r="H18" s="42">
        <f>'9 Výsledovka'!H22/'9 Výsledovka'!H$4</f>
        <v>0.006346314799589226</v>
      </c>
      <c r="I18" s="30"/>
      <c r="J18" s="30"/>
    </row>
    <row r="19" spans="1:10" s="1" customFormat="1" ht="13.5" thickBot="1">
      <c r="A19" s="226" t="s">
        <v>93</v>
      </c>
      <c r="B19" s="242"/>
      <c r="C19" s="246" t="s">
        <v>94</v>
      </c>
      <c r="D19" s="65">
        <f>'9 Výsledovka'!D23/'9 Výsledovka'!D$4</f>
        <v>0.017227277211146634</v>
      </c>
      <c r="E19" s="66">
        <f>'9 Výsledovka'!E23/'9 Výsledovka'!E$4</f>
        <v>0.01472427430628265</v>
      </c>
      <c r="F19" s="66">
        <f>'9 Výsledovka'!F23/'9 Výsledovka'!F$4</f>
        <v>0.009366812894391733</v>
      </c>
      <c r="G19" s="66">
        <f>'9 Výsledovka'!G23/'9 Výsledovka'!G$4</f>
        <v>0.02209836342122042</v>
      </c>
      <c r="H19" s="67">
        <f>'9 Výsledovka'!H23/'9 Výsledovka'!H$4</f>
        <v>0.019201711189936663</v>
      </c>
      <c r="I19" s="73"/>
      <c r="J19" s="73"/>
    </row>
    <row r="20" spans="1:10" s="1" customFormat="1" ht="13.5" thickBot="1">
      <c r="A20" s="227" t="s">
        <v>82</v>
      </c>
      <c r="B20" s="831"/>
      <c r="C20" s="231" t="s">
        <v>99</v>
      </c>
      <c r="D20" s="44">
        <f>'9 Výsledovka'!D27/'9 Výsledovka'!D$4</f>
        <v>0.0003056612634091512</v>
      </c>
      <c r="E20" s="45">
        <f>'9 Výsledovka'!E27/'9 Výsledovka'!E$4</f>
        <v>-7.696965923947185E-05</v>
      </c>
      <c r="F20" s="45">
        <f>'9 Výsledovka'!F27/'9 Výsledovka'!F$4</f>
        <v>-0.0031698749411722313</v>
      </c>
      <c r="G20" s="45">
        <f>'9 Výsledovka'!G27/'9 Výsledovka'!G$4</f>
        <v>-0.0017050894977595013</v>
      </c>
      <c r="H20" s="46">
        <f>'9 Výsledovka'!H27/'9 Výsledovka'!H$4</f>
        <v>0.0009836629624508828</v>
      </c>
      <c r="I20" s="73"/>
      <c r="J20" s="73"/>
    </row>
    <row r="21" spans="1:10" s="1" customFormat="1" ht="12.75">
      <c r="A21" s="834" t="s">
        <v>100</v>
      </c>
      <c r="B21" s="835"/>
      <c r="C21" s="836" t="s">
        <v>460</v>
      </c>
      <c r="D21" s="837">
        <f>'9 Výsledovka'!D28/'9 Výsledovka'!D$4</f>
        <v>0.017532938474555785</v>
      </c>
      <c r="E21" s="838">
        <f>'9 Výsledovka'!E28/'9 Výsledovka'!E$4</f>
        <v>0.014647304647043178</v>
      </c>
      <c r="F21" s="838">
        <f>'9 Výsledovka'!F28/'9 Výsledovka'!F$4</f>
        <v>0.006196937953219501</v>
      </c>
      <c r="G21" s="838">
        <f>'9 Výsledovka'!G28/'9 Výsledovka'!G$4</f>
        <v>0.02039327392346092</v>
      </c>
      <c r="H21" s="839">
        <f>'9 Výsledovka'!H28/'9 Výsledovka'!H$4</f>
        <v>0.020185374152387546</v>
      </c>
      <c r="I21" s="73"/>
      <c r="J21" s="73"/>
    </row>
    <row r="22" spans="1:10" s="1" customFormat="1" ht="13.5" thickBot="1">
      <c r="A22" s="226"/>
      <c r="B22" s="242"/>
      <c r="C22" s="243" t="s">
        <v>461</v>
      </c>
      <c r="D22" s="48">
        <f>'9 Výsledovka'!D29/'9 Výsledovka'!D$4</f>
        <v>0.021355093636549305</v>
      </c>
      <c r="E22" s="49">
        <f>'9 Výsledovka'!E29/'9 Výsledovka'!E$4</f>
        <v>0.020636223279926202</v>
      </c>
      <c r="F22" s="49">
        <f>'9 Výsledovka'!F29/'9 Výsledovka'!F$4</f>
        <v>0.009989213416771399</v>
      </c>
      <c r="G22" s="49">
        <f>'9 Výsledovka'!G29/'9 Výsledovka'!G$4</f>
        <v>0.027865675911362003</v>
      </c>
      <c r="H22" s="50">
        <f>'9 Výsledovka'!H29/'9 Výsledovka'!H$4</f>
        <v>0.026794491610399807</v>
      </c>
      <c r="I22" s="73"/>
      <c r="J22" s="73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</sheetData>
  <hyperlinks>
    <hyperlink ref="H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625" style="5" bestFit="1" customWidth="1"/>
    <col min="2" max="2" width="3.00390625" style="5" customWidth="1"/>
    <col min="3" max="3" width="43.75390625" style="5" bestFit="1" customWidth="1"/>
    <col min="4" max="7" width="9.75390625" style="0" bestFit="1" customWidth="1"/>
    <col min="9" max="12" width="9.25390625" style="0" bestFit="1" customWidth="1"/>
  </cols>
  <sheetData>
    <row r="1" spans="1:9" s="5" customFormat="1" ht="21" customHeight="1">
      <c r="A1" s="740" t="s">
        <v>647</v>
      </c>
      <c r="G1" s="1248" t="s">
        <v>785</v>
      </c>
      <c r="I1" s="30"/>
    </row>
    <row r="2" spans="1:9" s="5" customFormat="1" ht="21" customHeight="1" thickBot="1">
      <c r="A2" s="741" t="s">
        <v>657</v>
      </c>
      <c r="I2" s="30"/>
    </row>
    <row r="3" spans="1:7" ht="13.5" thickBot="1">
      <c r="A3" s="714"/>
      <c r="B3" s="742"/>
      <c r="C3" s="715" t="s">
        <v>236</v>
      </c>
      <c r="D3" s="716">
        <f>výchozí_rok+1</f>
        <v>1998</v>
      </c>
      <c r="E3" s="717">
        <f>výchozí_rok+2</f>
        <v>1999</v>
      </c>
      <c r="F3" s="717">
        <f>výchozí_rok+3</f>
        <v>2000</v>
      </c>
      <c r="G3" s="814">
        <f>výchozí_rok+4</f>
        <v>2001</v>
      </c>
    </row>
    <row r="4" spans="1:7" ht="12.75">
      <c r="A4" s="828" t="s">
        <v>64</v>
      </c>
      <c r="B4" s="829"/>
      <c r="C4" s="830" t="s">
        <v>65</v>
      </c>
      <c r="D4" s="40">
        <f>'9 Výsledovka'!E4/'9 Výsledovka'!D4-1</f>
        <v>0.22745921853529905</v>
      </c>
      <c r="E4" s="41">
        <f>'9 Výsledovka'!F4/'9 Výsledovka'!E4-1</f>
        <v>0.036610392035903994</v>
      </c>
      <c r="F4" s="41">
        <f>'9 Výsledovka'!G4/'9 Výsledovka'!F4-1</f>
        <v>-0.016993718122446877</v>
      </c>
      <c r="G4" s="42">
        <f>'9 Výsledovka'!H4/'9 Výsledovka'!G4-1</f>
        <v>0.05246677019392476</v>
      </c>
    </row>
    <row r="5" spans="1:7" ht="12.75">
      <c r="A5" s="238"/>
      <c r="B5" s="2" t="s">
        <v>1</v>
      </c>
      <c r="C5" s="239" t="s">
        <v>66</v>
      </c>
      <c r="D5" s="59">
        <f>'9 Výsledovka'!E5/'9 Výsledovka'!D5-1</f>
        <v>0.25871645443302915</v>
      </c>
      <c r="E5" s="60">
        <f>'9 Výsledovka'!F5/'9 Výsledovka'!E5-1</f>
        <v>0.04103707308649329</v>
      </c>
      <c r="F5" s="60">
        <f>'9 Výsledovka'!G5/'9 Výsledovka'!F5-1</f>
        <v>-0.026239396795475933</v>
      </c>
      <c r="G5" s="61">
        <f>'9 Výsledovka'!H5/'9 Výsledovka'!G5-1</f>
        <v>0.05278046640081557</v>
      </c>
    </row>
    <row r="6" spans="1:7" s="1" customFormat="1" ht="12.75">
      <c r="A6" s="223" t="s">
        <v>67</v>
      </c>
      <c r="B6" s="8"/>
      <c r="C6" s="228" t="s">
        <v>68</v>
      </c>
      <c r="D6" s="37">
        <f>'9 Výsledovka'!E6/'9 Výsledovka'!D6-1</f>
        <v>0.05870376955903267</v>
      </c>
      <c r="E6" s="38">
        <f>'9 Výsledovka'!F6/'9 Výsledovka'!E6-1</f>
        <v>0.008195964159451785</v>
      </c>
      <c r="F6" s="38">
        <f>'9 Výsledovka'!G6/'9 Výsledovka'!F6-1</f>
        <v>0.04428655910843826</v>
      </c>
      <c r="G6" s="39">
        <f>'9 Výsledovka'!H6/'9 Výsledovka'!G6-1</f>
        <v>0.05052801174068411</v>
      </c>
    </row>
    <row r="7" spans="1:7" ht="12.75">
      <c r="A7" s="238"/>
      <c r="B7" s="2" t="s">
        <v>69</v>
      </c>
      <c r="C7" s="239" t="s">
        <v>70</v>
      </c>
      <c r="D7" s="59">
        <f>'9 Výsledovka'!E7/'9 Výsledovka'!D7-1</f>
        <v>-0.013945439739413645</v>
      </c>
      <c r="E7" s="60">
        <f>'9 Výsledovka'!F7/'9 Výsledovka'!E7-1</f>
        <v>-0.13523278620832047</v>
      </c>
      <c r="F7" s="60">
        <f>'9 Výsledovka'!G7/'9 Výsledovka'!F7-1</f>
        <v>0.10664120011141609</v>
      </c>
      <c r="G7" s="61">
        <f>'9 Výsledovka'!H7/'9 Výsledovka'!G7-1</f>
        <v>0.12178634353313433</v>
      </c>
    </row>
    <row r="8" spans="1:7" s="1" customFormat="1" ht="12.75">
      <c r="A8" s="223" t="s">
        <v>67</v>
      </c>
      <c r="B8" s="8"/>
      <c r="C8" s="228" t="s">
        <v>71</v>
      </c>
      <c r="D8" s="37">
        <f>'9 Výsledovka'!E8/'9 Výsledovka'!D8-1</f>
        <v>0.06965644950073657</v>
      </c>
      <c r="E8" s="38">
        <f>'9 Výsledovka'!F8/'9 Výsledovka'!E8-1</f>
        <v>0.02812940867028524</v>
      </c>
      <c r="F8" s="38">
        <f>'9 Výsledovka'!G8/'9 Výsledovka'!F8-1</f>
        <v>0.03699758590054292</v>
      </c>
      <c r="G8" s="39">
        <f>'9 Výsledovka'!H8/'9 Výsledovka'!G8-1</f>
        <v>0.04163881923917101</v>
      </c>
    </row>
    <row r="9" spans="1:7" ht="12.75">
      <c r="A9" s="225"/>
      <c r="B9" s="3" t="s">
        <v>19</v>
      </c>
      <c r="C9" s="230" t="s">
        <v>72</v>
      </c>
      <c r="D9" s="74">
        <f>'9 Výsledovka'!E9/'9 Výsledovka'!D9-1</f>
        <v>0.04122823967537381</v>
      </c>
      <c r="E9" s="75">
        <f>'9 Výsledovka'!F9/'9 Výsledovka'!E9-1</f>
        <v>0.03800992003239201</v>
      </c>
      <c r="F9" s="75">
        <f>'9 Výsledovka'!G9/'9 Výsledovka'!F9-1</f>
        <v>0.021210200399824464</v>
      </c>
      <c r="G9" s="76">
        <f>'9 Výsledovka'!H9/'9 Výsledovka'!G9-1</f>
        <v>0.03200598421186651</v>
      </c>
    </row>
    <row r="10" spans="1:7" ht="12.75">
      <c r="A10" s="225"/>
      <c r="B10" s="3" t="s">
        <v>35</v>
      </c>
      <c r="C10" s="230" t="s">
        <v>76</v>
      </c>
      <c r="D10" s="40">
        <f>'9 Výsledovka'!E12/'9 Výsledovka'!D12-1</f>
        <v>-0.17284894837476095</v>
      </c>
      <c r="E10" s="41">
        <f>'9 Výsledovka'!F12/'9 Výsledovka'!E12-1</f>
        <v>0.2491909385113269</v>
      </c>
      <c r="F10" s="41">
        <f>'9 Výsledovka'!G12/'9 Výsledovka'!F12-1</f>
        <v>0.28386380458919325</v>
      </c>
      <c r="G10" s="42">
        <f>'9 Výsledovka'!H12/'9 Výsledovka'!G12-1</f>
        <v>-0.4076102623234361</v>
      </c>
    </row>
    <row r="11" spans="1:7" ht="12.75">
      <c r="A11" s="225"/>
      <c r="B11" s="3" t="s">
        <v>77</v>
      </c>
      <c r="C11" s="230" t="s">
        <v>235</v>
      </c>
      <c r="D11" s="40">
        <f>'9 Výsledovka'!E13/'9 Výsledovka'!D13-1</f>
        <v>-0.04923431582413962</v>
      </c>
      <c r="E11" s="41">
        <f>'9 Výsledovka'!F13/'9 Výsledovka'!E13-1</f>
        <v>0.5864218912365777</v>
      </c>
      <c r="F11" s="41">
        <f>'9 Výsledovka'!G13/'9 Výsledovka'!F13-1</f>
        <v>-0.009006550218340625</v>
      </c>
      <c r="G11" s="42">
        <f>'9 Výsledovka'!H13/'9 Výsledovka'!G13-1</f>
        <v>-0.02583310382814652</v>
      </c>
    </row>
    <row r="12" spans="1:12" ht="12.75">
      <c r="A12" s="238"/>
      <c r="B12" s="2"/>
      <c r="C12" s="230" t="s">
        <v>237</v>
      </c>
      <c r="D12" s="40">
        <f>'9 Výsledovka'!E16/'9 Výsledovka'!D16</f>
        <v>-6.287128712871287</v>
      </c>
      <c r="E12" s="41">
        <f>'9 Výsledovka'!F16/'9 Výsledovka'!E16</f>
        <v>1.4708661417322835</v>
      </c>
      <c r="F12" s="41">
        <f>'9 Výsledovka'!G16/'9 Výsledovka'!F16</f>
        <v>-0.970378301213419</v>
      </c>
      <c r="G12" s="42">
        <f>'9 Výsledovka'!H16/'9 Výsledovka'!G16</f>
        <v>-0.20117690327326224</v>
      </c>
      <c r="I12" s="27"/>
      <c r="J12" s="27"/>
      <c r="K12" s="27"/>
      <c r="L12" s="27"/>
    </row>
    <row r="13" spans="1:7" s="1" customFormat="1" ht="13.5" thickBot="1">
      <c r="A13" s="226" t="s">
        <v>82</v>
      </c>
      <c r="B13" s="242"/>
      <c r="C13" s="246" t="s">
        <v>83</v>
      </c>
      <c r="D13" s="65">
        <f>'9 Výsledovka'!E17/'9 Výsledovka'!D17-1</f>
        <v>0.1253272127167191</v>
      </c>
      <c r="E13" s="66">
        <f>'9 Výsledovka'!F17/'9 Výsledovka'!E17-1</f>
        <v>-0.25351875263379686</v>
      </c>
      <c r="F13" s="66">
        <f>'9 Výsledovka'!G17/'9 Výsledovka'!F17-1</f>
        <v>0.5395957999322569</v>
      </c>
      <c r="G13" s="67">
        <f>'9 Výsledovka'!H17/'9 Výsledovka'!G17-1</f>
        <v>-0.09121309455713467</v>
      </c>
    </row>
    <row r="14" spans="1:7" ht="12.75">
      <c r="A14" s="828" t="s">
        <v>81</v>
      </c>
      <c r="B14" s="829"/>
      <c r="C14" s="830" t="s">
        <v>84</v>
      </c>
      <c r="D14" s="40">
        <f>'9 Výsledovka'!E18/'9 Výsledovka'!D18-1</f>
        <v>0</v>
      </c>
      <c r="E14" s="41">
        <f>'9 Výsledovka'!F18/'9 Výsledovka'!E18-1</f>
        <v>0</v>
      </c>
      <c r="F14" s="41">
        <f>'9 Výsledovka'!G18/'9 Výsledovka'!F18-1</f>
        <v>0</v>
      </c>
      <c r="G14" s="42">
        <f>'9 Výsledovka'!H18/'9 Výsledovka'!G18-1</f>
        <v>0</v>
      </c>
    </row>
    <row r="15" spans="1:7" ht="12.75">
      <c r="A15" s="225" t="s">
        <v>85</v>
      </c>
      <c r="B15" s="3"/>
      <c r="C15" s="230" t="s">
        <v>87</v>
      </c>
      <c r="D15" s="40">
        <f>'9 Výsledovka'!E19/'9 Výsledovka'!D19-1</f>
        <v>0.41662752293577454</v>
      </c>
      <c r="E15" s="41">
        <f>'9 Výsledovka'!F19/'9 Výsledovka'!E19-1</f>
        <v>0.5824157904417033</v>
      </c>
      <c r="F15" s="41">
        <f>'9 Výsledovka'!G19/'9 Výsledovka'!F19-1</f>
        <v>-0.5471751716898865</v>
      </c>
      <c r="G15" s="42">
        <f>'9 Výsledovka'!H19/'9 Výsledovka'!G19-1</f>
        <v>-0.23587139704771165</v>
      </c>
    </row>
    <row r="16" spans="1:7" ht="12.75">
      <c r="A16" s="238"/>
      <c r="B16" s="2" t="s">
        <v>88</v>
      </c>
      <c r="C16" s="230" t="s">
        <v>89</v>
      </c>
      <c r="D16" s="40">
        <f>'9 Výsledovka'!E20/'9 Výsledovka'!D20-1</f>
        <v>0.02141494711288372</v>
      </c>
      <c r="E16" s="41">
        <f>'9 Výsledovka'!F20/'9 Výsledovka'!E20-1</f>
        <v>-0.0888719124013242</v>
      </c>
      <c r="F16" s="41">
        <f>'9 Výsledovka'!G20/'9 Výsledovka'!F20-1</f>
        <v>-0.2706353642630892</v>
      </c>
      <c r="G16" s="42">
        <f>'9 Výsledovka'!H20/'9 Výsledovka'!G20-1</f>
        <v>-0.10358921956827183</v>
      </c>
    </row>
    <row r="17" spans="1:7" s="1" customFormat="1" ht="13.5" thickBot="1">
      <c r="A17" s="226" t="s">
        <v>82</v>
      </c>
      <c r="B17" s="242"/>
      <c r="C17" s="246" t="s">
        <v>90</v>
      </c>
      <c r="D17" s="65">
        <f>'9 Výsledovka'!E21/'9 Výsledovka'!D21-1</f>
        <v>0.01188541049810099</v>
      </c>
      <c r="E17" s="66">
        <f>'9 Výsledovka'!F21/'9 Výsledovka'!E21-1</f>
        <v>-0.11192618417531297</v>
      </c>
      <c r="F17" s="66">
        <f>'9 Výsledovka'!G21/'9 Výsledovka'!F21-1</f>
        <v>-0.25474960301030747</v>
      </c>
      <c r="G17" s="67">
        <f>'9 Výsledovka'!H21/'9 Výsledovka'!G21-1</f>
        <v>-0.09916244909750693</v>
      </c>
    </row>
    <row r="18" spans="1:7" ht="12.75">
      <c r="A18" s="832"/>
      <c r="B18" s="833" t="s">
        <v>463</v>
      </c>
      <c r="C18" s="830" t="s">
        <v>92</v>
      </c>
      <c r="D18" s="40">
        <f>'9 Výsledovka'!E22/'9 Výsledovka'!D22-1</f>
        <v>0.9380952380952381</v>
      </c>
      <c r="E18" s="41">
        <f>'9 Výsledovka'!F22/'9 Výsledovka'!E22-1</f>
        <v>-0.34360234360234365</v>
      </c>
      <c r="F18" s="41">
        <f>'9 Výsledovka'!G22/'9 Výsledovka'!F22-1</f>
        <v>0.922257414339188</v>
      </c>
      <c r="G18" s="42">
        <f>'9 Výsledovka'!H22/'9 Výsledovka'!G22-1</f>
        <v>-0.09931096464949074</v>
      </c>
    </row>
    <row r="19" spans="1:7" s="1" customFormat="1" ht="13.5" thickBot="1">
      <c r="A19" s="226" t="s">
        <v>93</v>
      </c>
      <c r="B19" s="242"/>
      <c r="C19" s="246" t="s">
        <v>94</v>
      </c>
      <c r="D19" s="65">
        <f>'9 Výsledovka'!E23/'9 Výsledovka'!D23-1</f>
        <v>0.04911797795852202</v>
      </c>
      <c r="E19" s="66">
        <f>'9 Výsledovka'!F23/'9 Výsledovka'!E23-1</f>
        <v>-0.34056270722697946</v>
      </c>
      <c r="F19" s="66">
        <f>'9 Výsledovka'!G23/'9 Výsledovka'!F23-1</f>
        <v>1.3191271467885404</v>
      </c>
      <c r="G19" s="67">
        <f>'9 Výsledovka'!H23/'9 Výsledovka'!G23-1</f>
        <v>-0.08549051470196622</v>
      </c>
    </row>
    <row r="20" spans="1:7" s="1" customFormat="1" ht="13.5" thickBot="1">
      <c r="A20" s="227" t="s">
        <v>82</v>
      </c>
      <c r="B20" s="831"/>
      <c r="C20" s="231" t="s">
        <v>99</v>
      </c>
      <c r="D20" s="44">
        <f>'9 Výsledovka'!E27/'9 Výsledovka'!D27-1</f>
        <v>-1.309090909090909</v>
      </c>
      <c r="E20" s="45">
        <f>'9 Výsledovka'!F27/'9 Výsledovka'!E27-1</f>
        <v>41.69117647058823</v>
      </c>
      <c r="F20" s="45">
        <f>'9 Výsledovka'!G27/'9 Výsledovka'!F27-1</f>
        <v>-0.47123665173957974</v>
      </c>
      <c r="G20" s="46">
        <f>'9 Výsledovka'!H27/'9 Výsledovka'!G27-1</f>
        <v>-1.6071661237785015</v>
      </c>
    </row>
    <row r="21" spans="1:7" s="1" customFormat="1" ht="12.75">
      <c r="A21" s="834" t="s">
        <v>100</v>
      </c>
      <c r="B21" s="835"/>
      <c r="C21" s="836" t="s">
        <v>460</v>
      </c>
      <c r="D21" s="837">
        <f>'9 Výsledovka'!E28/'9 Výsledovka'!D28-1</f>
        <v>0.02543958286282577</v>
      </c>
      <c r="E21" s="838">
        <f>'9 Výsledovka'!F28/'9 Výsledovka'!E28-1</f>
        <v>-0.5614339678252134</v>
      </c>
      <c r="F21" s="838">
        <f>'9 Výsledovka'!G28/'9 Výsledovka'!F28-1</f>
        <v>2.2349390176477217</v>
      </c>
      <c r="G21" s="839">
        <f>'9 Výsledovka'!H28/'9 Výsledovka'!G28-1</f>
        <v>0.041737369833449556</v>
      </c>
    </row>
    <row r="22" spans="1:7" s="1" customFormat="1" ht="13.5" thickBot="1">
      <c r="A22" s="226"/>
      <c r="B22" s="242"/>
      <c r="C22" s="243" t="s">
        <v>461</v>
      </c>
      <c r="D22" s="48">
        <f>'9 Výsledovka'!E29/'9 Výsledovka'!D29-1</f>
        <v>0.1861396129561137</v>
      </c>
      <c r="E22" s="49">
        <f>'9 Výsledovka'!F29/'9 Výsledovka'!E29-1</f>
        <v>-0.4982162047954569</v>
      </c>
      <c r="F22" s="49">
        <f>'9 Výsledovka'!G29/'9 Výsledovka'!F29-1</f>
        <v>1.7421713128726242</v>
      </c>
      <c r="G22" s="50">
        <f>'9 Výsledovka'!H29/'9 Výsledovka'!G29-1</f>
        <v>0.012008900623409868</v>
      </c>
    </row>
    <row r="23" spans="2:7" ht="12.75">
      <c r="B23" s="30"/>
      <c r="C23" s="30"/>
      <c r="D23" s="30"/>
      <c r="E23" s="30"/>
      <c r="F23" s="30"/>
      <c r="G23" s="30"/>
    </row>
  </sheetData>
  <hyperlinks>
    <hyperlink ref="G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4.00390625" style="0" customWidth="1"/>
  </cols>
  <sheetData>
    <row r="1" spans="1:9" s="5" customFormat="1" ht="21" customHeight="1">
      <c r="A1" s="740" t="s">
        <v>647</v>
      </c>
      <c r="F1" s="1248" t="s">
        <v>785</v>
      </c>
      <c r="I1" s="30"/>
    </row>
    <row r="2" spans="1:9" s="5" customFormat="1" ht="21" customHeight="1" thickBot="1">
      <c r="A2" s="741" t="s">
        <v>658</v>
      </c>
      <c r="I2" s="30"/>
    </row>
    <row r="3" spans="1:6" ht="13.5" thickBot="1">
      <c r="A3" s="857" t="s">
        <v>520</v>
      </c>
      <c r="B3" s="716">
        <f>výchozí_rok</f>
        <v>1997</v>
      </c>
      <c r="C3" s="717">
        <f>výchozí_rok+1</f>
        <v>1998</v>
      </c>
      <c r="D3" s="717">
        <f>výchozí_rok+2</f>
        <v>1999</v>
      </c>
      <c r="E3" s="717">
        <f>výchozí_rok+3</f>
        <v>2000</v>
      </c>
      <c r="F3" s="814">
        <f>výchozí_rok+4</f>
        <v>2001</v>
      </c>
    </row>
    <row r="4" spans="1:6" ht="21" customHeight="1">
      <c r="A4" s="861" t="s">
        <v>208</v>
      </c>
      <c r="B4" s="862"/>
      <c r="C4" s="863"/>
      <c r="D4" s="863"/>
      <c r="E4" s="863"/>
      <c r="F4" s="864"/>
    </row>
    <row r="5" spans="1:6" ht="15" customHeight="1">
      <c r="A5" s="100" t="s">
        <v>209</v>
      </c>
      <c r="B5" s="858">
        <f>'8 Rozvaha'!C$22/('8 Rozvaha'!C$39+'8 Rozvaha'!C$46)</f>
        <v>0.06837974279944709</v>
      </c>
      <c r="C5" s="859">
        <f>'8 Rozvaha'!D22/('8 Rozvaha'!D$39+'8 Rozvaha'!D$46)</f>
        <v>0.10400741497467311</v>
      </c>
      <c r="D5" s="859">
        <f>'8 Rozvaha'!E22/('8 Rozvaha'!E$39+'8 Rozvaha'!E$46)</f>
        <v>0.07804278223553889</v>
      </c>
      <c r="E5" s="859">
        <f>'8 Rozvaha'!F22/('8 Rozvaha'!F$39+'8 Rozvaha'!F$46)</f>
        <v>0.09306696924452017</v>
      </c>
      <c r="F5" s="860">
        <f>'8 Rozvaha'!G22/('8 Rozvaha'!G$39+'8 Rozvaha'!G$46)</f>
        <v>0.09442507727696887</v>
      </c>
    </row>
    <row r="6" spans="1:6" ht="15" customHeight="1">
      <c r="A6" s="100" t="s">
        <v>210</v>
      </c>
      <c r="B6" s="858">
        <f>('8 Rozvaha'!C$22+'8 Rozvaha'!C20)/('8 Rozvaha'!C$39+'8 Rozvaha'!C$46)</f>
        <v>0.30347380167924304</v>
      </c>
      <c r="C6" s="859">
        <f>('8 Rozvaha'!D$22+'8 Rozvaha'!D20)/('8 Rozvaha'!D$39+'8 Rozvaha'!D$46)</f>
        <v>0.2939533563189033</v>
      </c>
      <c r="D6" s="859">
        <f>('8 Rozvaha'!E$22+'8 Rozvaha'!E20)/('8 Rozvaha'!E$39+'8 Rozvaha'!E$46)</f>
        <v>0.2755103223977111</v>
      </c>
      <c r="E6" s="859">
        <f>('8 Rozvaha'!F$22+'8 Rozvaha'!F20)/('8 Rozvaha'!F$39+'8 Rozvaha'!F$46)</f>
        <v>0.30015239770775887</v>
      </c>
      <c r="F6" s="860">
        <f>('8 Rozvaha'!G$22+'8 Rozvaha'!G20)/('8 Rozvaha'!G$39+'8 Rozvaha'!G$46)</f>
        <v>0.3484594835876568</v>
      </c>
    </row>
    <row r="7" spans="1:6" ht="15" customHeight="1" thickBot="1">
      <c r="A7" s="170" t="s">
        <v>211</v>
      </c>
      <c r="B7" s="874">
        <f>'8 Rozvaha'!C15/('8 Rozvaha'!C$39+'8 Rozvaha'!C$46)</f>
        <v>0.8813566797746836</v>
      </c>
      <c r="C7" s="875">
        <f>'8 Rozvaha'!D15/('8 Rozvaha'!D$39+'8 Rozvaha'!D$46)</f>
        <v>0.8798385135997955</v>
      </c>
      <c r="D7" s="875">
        <f>'8 Rozvaha'!E15/('8 Rozvaha'!E$39+'8 Rozvaha'!E$46)</f>
        <v>0.8615564009784502</v>
      </c>
      <c r="E7" s="875">
        <f>'8 Rozvaha'!F15/('8 Rozvaha'!F$39+'8 Rozvaha'!F$46)</f>
        <v>0.9226063195267573</v>
      </c>
      <c r="F7" s="876">
        <f>'8 Rozvaha'!G15/('8 Rozvaha'!G$39+'8 Rozvaha'!G$46)</f>
        <v>0.922333372944386</v>
      </c>
    </row>
    <row r="8" spans="1:6" ht="21" customHeight="1">
      <c r="A8" s="861" t="s">
        <v>215</v>
      </c>
      <c r="B8" s="862"/>
      <c r="C8" s="863"/>
      <c r="D8" s="863"/>
      <c r="E8" s="863"/>
      <c r="F8" s="864"/>
    </row>
    <row r="9" spans="1:6" ht="15" customHeight="1">
      <c r="A9" s="100" t="s">
        <v>227</v>
      </c>
      <c r="B9" s="865">
        <f>'8 Rozvaha'!C28/'8 Rozvaha'!C27</f>
        <v>0.4826054942802706</v>
      </c>
      <c r="C9" s="194">
        <f>'8 Rozvaha'!D28/'8 Rozvaha'!D27</f>
        <v>0.4240154307588676</v>
      </c>
      <c r="D9" s="194">
        <f>'8 Rozvaha'!E28/'8 Rozvaha'!E27</f>
        <v>0.4301781677165789</v>
      </c>
      <c r="E9" s="194">
        <f>'8 Rozvaha'!F28/'8 Rozvaha'!F27</f>
        <v>0.4318312725549229</v>
      </c>
      <c r="F9" s="866">
        <f>'8 Rozvaha'!G28/'8 Rozvaha'!G27</f>
        <v>0.46237714661069845</v>
      </c>
    </row>
    <row r="10" spans="1:6" ht="15" customHeight="1">
      <c r="A10" s="100" t="s">
        <v>217</v>
      </c>
      <c r="B10" s="867">
        <f>('9 Výsledovka'!D29+'9 Výsledovka'!D20)/'9 Výsledovka'!D20</f>
        <v>2.3326122767470086</v>
      </c>
      <c r="C10" s="868">
        <f>('9 Výsledovka'!E29+'9 Výsledovka'!E20)/'9 Výsledovka'!E20</f>
        <v>2.547524064171123</v>
      </c>
      <c r="D10" s="868">
        <f>('9 Výsledovka'!F29+'9 Výsledovka'!F20)/'9 Výsledovka'!F20</f>
        <v>1.8522649105645612</v>
      </c>
      <c r="E10" s="868">
        <f>('9 Výsledovka'!G29+'9 Výsledovka'!G20)/'9 Výsledovka'!G20</f>
        <v>4.204235953059139</v>
      </c>
      <c r="F10" s="869">
        <f>('9 Výsledovka'!H29+'9 Výsledovka'!H20)/'9 Výsledovka'!H20</f>
        <v>4.617443447781419</v>
      </c>
    </row>
    <row r="11" spans="1:6" ht="15" customHeight="1" thickBot="1">
      <c r="A11" s="170" t="s">
        <v>218</v>
      </c>
      <c r="B11" s="124"/>
      <c r="C11" s="871">
        <f>('8 Rozvaha'!D35-'8 Rozvaha'!D36)/'10 Cash flow'!C16</f>
        <v>4.333324992863122</v>
      </c>
      <c r="D11" s="871">
        <f>('8 Rozvaha'!E35-'8 Rozvaha'!E36)/'10 Cash flow'!D16</f>
        <v>6.703367289713164</v>
      </c>
      <c r="E11" s="871">
        <f>('8 Rozvaha'!F35-'8 Rozvaha'!F36)/'10 Cash flow'!E16</f>
        <v>6.003395636397599</v>
      </c>
      <c r="F11" s="872">
        <f>('8 Rozvaha'!G35-'8 Rozvaha'!G36)/'10 Cash flow'!F16</f>
        <v>4.703220225169241</v>
      </c>
    </row>
    <row r="12" spans="1:6" ht="21" customHeight="1">
      <c r="A12" s="861" t="s">
        <v>205</v>
      </c>
      <c r="B12" s="862"/>
      <c r="C12" s="863"/>
      <c r="D12" s="863"/>
      <c r="E12" s="863"/>
      <c r="F12" s="864"/>
    </row>
    <row r="13" spans="1:6" ht="15" customHeight="1">
      <c r="A13" s="100" t="s">
        <v>238</v>
      </c>
      <c r="B13" s="865">
        <f>('9 Výsledovka'!D29+'9 Výsledovka'!D20)/'8 Rozvaha'!C5</f>
        <v>0.0996232886032907</v>
      </c>
      <c r="C13" s="194">
        <f>('9 Výsledovka'!E29+'9 Výsledovka'!E20)/'8 Rozvaha'!D5</f>
        <v>0.09372769996034239</v>
      </c>
      <c r="D13" s="194">
        <f>('9 Výsledovka'!F29+'9 Výsledovka'!F20)/'8 Rozvaha'!E5</f>
        <v>0.06506652470590572</v>
      </c>
      <c r="E13" s="194">
        <f>('9 Výsledovka'!G29+'9 Výsledovka'!G20)/'8 Rozvaha'!F5</f>
        <v>0.10351743514657778</v>
      </c>
      <c r="F13" s="866">
        <f>('9 Výsledovka'!H29+'9 Výsledovka'!H20)/'8 Rozvaha'!G5</f>
        <v>0.10482863796015206</v>
      </c>
    </row>
    <row r="14" spans="1:6" ht="15" customHeight="1">
      <c r="A14" s="100" t="s">
        <v>206</v>
      </c>
      <c r="B14" s="865">
        <f>'9 Výsledovka'!D28/'8 Rozvaha'!C28</f>
        <v>0.09682401635504786</v>
      </c>
      <c r="C14" s="194">
        <f>'9 Výsledovka'!E28/'8 Rozvaha'!D28</f>
        <v>0.09530877997592914</v>
      </c>
      <c r="D14" s="194">
        <f>'9 Výsledovka'!F28/'8 Rozvaha'!E28</f>
        <v>0.04317442976048405</v>
      </c>
      <c r="E14" s="194">
        <f>'9 Výsledovka'!G28/'8 Rozvaha'!F28</f>
        <v>0.133707014315733</v>
      </c>
      <c r="F14" s="866">
        <f>'9 Výsledovka'!H28/'8 Rozvaha'!G28</f>
        <v>0.13380582815126177</v>
      </c>
    </row>
    <row r="15" spans="1:6" ht="15" customHeight="1">
      <c r="A15" s="100" t="s">
        <v>207</v>
      </c>
      <c r="B15" s="865">
        <f>'9 Výsledovka'!D28/'9 Výsledovka'!D4</f>
        <v>0.017532938474555785</v>
      </c>
      <c r="C15" s="194">
        <f>'9 Výsledovka'!E28/'9 Výsledovka'!E4</f>
        <v>0.014647304647043178</v>
      </c>
      <c r="D15" s="194">
        <f>'9 Výsledovka'!F28/'9 Výsledovka'!F4</f>
        <v>0.006196937953219501</v>
      </c>
      <c r="E15" s="194">
        <f>'9 Výsledovka'!G28/'9 Výsledovka'!G4</f>
        <v>0.02039327392346092</v>
      </c>
      <c r="F15" s="866">
        <f>'9 Výsledovka'!H28/'9 Výsledovka'!H4</f>
        <v>0.020185374152387546</v>
      </c>
    </row>
    <row r="16" spans="1:6" ht="15" customHeight="1">
      <c r="A16" s="100" t="s">
        <v>223</v>
      </c>
      <c r="B16" s="865">
        <f>'9 Výsledovka'!D17/'9 Výsledovka'!D4</f>
        <v>0.036622387464553714</v>
      </c>
      <c r="C16" s="194">
        <f>'9 Výsledovka'!E17/'9 Výsledovka'!E4</f>
        <v>0.03357518407633579</v>
      </c>
      <c r="D16" s="194">
        <f>'9 Výsledovka'!F17/'9 Výsledovka'!F4</f>
        <v>0.02417807643296801</v>
      </c>
      <c r="E16" s="194">
        <f>'9 Výsledovka'!G17/'9 Výsledovka'!G4</f>
        <v>0.03786798275138129</v>
      </c>
      <c r="F16" s="866">
        <f>'9 Výsledovka'!H17/'9 Výsledovka'!H4</f>
        <v>0.0326983500425867</v>
      </c>
    </row>
    <row r="17" spans="1:6" ht="15" customHeight="1" thickBot="1">
      <c r="A17" s="170" t="s">
        <v>226</v>
      </c>
      <c r="B17" s="124"/>
      <c r="C17" s="877">
        <f>'10 Cash flow'!C16/'9 Výsledovka'!E4</f>
        <v>0.043111363777851984</v>
      </c>
      <c r="D17" s="877">
        <f>'10 Cash flow'!D16/'9 Výsledovka'!F4</f>
        <v>0.026001285803044085</v>
      </c>
      <c r="E17" s="877">
        <f>'10 Cash flow'!E16/'9 Výsledovka'!G4</f>
        <v>0.03180348846481961</v>
      </c>
      <c r="F17" s="878">
        <f>'10 Cash flow'!F16/'9 Výsledovka'!H4</f>
        <v>0.03538887734348729</v>
      </c>
    </row>
    <row r="18" spans="1:6" ht="21" customHeight="1">
      <c r="A18" s="873" t="s">
        <v>212</v>
      </c>
      <c r="B18" s="164"/>
      <c r="C18" s="165"/>
      <c r="D18" s="165"/>
      <c r="E18" s="165"/>
      <c r="F18" s="166"/>
    </row>
    <row r="19" spans="1:6" ht="15" customHeight="1">
      <c r="A19" s="100" t="s">
        <v>213</v>
      </c>
      <c r="B19" s="867">
        <f>'8 Rozvaha'!C16/('9 Výsledovka'!D5/365)</f>
        <v>32.680870649182985</v>
      </c>
      <c r="C19" s="868">
        <f>'8 Rozvaha'!D16/('9 Výsledovka'!E5/365)</f>
        <v>32.86271131449982</v>
      </c>
      <c r="D19" s="868">
        <f>'8 Rozvaha'!E16/('9 Výsledovka'!F5/365)</f>
        <v>31.759013509267987</v>
      </c>
      <c r="E19" s="868">
        <f>'8 Rozvaha'!F16/('9 Výsledovka'!G5/365)</f>
        <v>33.29546891736678</v>
      </c>
      <c r="F19" s="869">
        <f>'8 Rozvaha'!G16/('9 Výsledovka'!H5/365)</f>
        <v>29.881240744917676</v>
      </c>
    </row>
    <row r="20" spans="1:6" ht="15" customHeight="1">
      <c r="A20" s="100" t="s">
        <v>214</v>
      </c>
      <c r="B20" s="867">
        <f>'8 Rozvaha'!C20/('9 Výsledovka'!D4/365)</f>
        <v>11.217490493240023</v>
      </c>
      <c r="C20" s="868">
        <f>'8 Rozvaha'!D20/('9 Výsledovka'!E4/365)</f>
        <v>9.218112771869855</v>
      </c>
      <c r="D20" s="868">
        <f>'8 Rozvaha'!E20/('9 Výsledovka'!F4/365)</f>
        <v>9.298281628592862</v>
      </c>
      <c r="E20" s="868">
        <f>'8 Rozvaha'!F20/('9 Výsledovka'!G4/365)</f>
        <v>9.53443836462478</v>
      </c>
      <c r="F20" s="869">
        <f>'8 Rozvaha'!G20/('9 Výsledovka'!H4/365)</f>
        <v>11.388637637351328</v>
      </c>
    </row>
    <row r="21" spans="1:6" ht="15" customHeight="1" thickBot="1">
      <c r="A21" s="170" t="s">
        <v>216</v>
      </c>
      <c r="B21" s="870">
        <f>'8 Rozvaha'!C40/(('9 Výsledovka'!D5+'9 Výsledovka'!D7)/365)</f>
        <v>24.292178383844554</v>
      </c>
      <c r="C21" s="871">
        <f>'8 Rozvaha'!D40/(('9 Výsledovka'!E5+'9 Výsledovka'!E7)/365)</f>
        <v>27.12924750854557</v>
      </c>
      <c r="D21" s="871">
        <f>'8 Rozvaha'!E40/(('9 Výsledovka'!F5+'9 Výsledovka'!F7)/365)</f>
        <v>27.077125206679817</v>
      </c>
      <c r="E21" s="871">
        <f>'8 Rozvaha'!F40/(('9 Výsledovka'!G5+'9 Výsledovka'!G7)/365)</f>
        <v>32.08333042798616</v>
      </c>
      <c r="F21" s="872">
        <f>'8 Rozvaha'!G40/(('9 Výsledovka'!H5+'9 Výsledovka'!H7)/365)</f>
        <v>31.955670600348583</v>
      </c>
    </row>
  </sheetData>
  <hyperlinks>
    <hyperlink ref="F1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7.25390625" style="31" customWidth="1"/>
    <col min="2" max="10" width="10.375" style="31" customWidth="1"/>
    <col min="11" max="16384" width="9.125" style="31" customWidth="1"/>
  </cols>
  <sheetData>
    <row r="1" spans="1:10" s="5" customFormat="1" ht="21" customHeight="1">
      <c r="A1" s="740" t="s">
        <v>660</v>
      </c>
      <c r="I1" s="30"/>
      <c r="J1" s="1248" t="s">
        <v>785</v>
      </c>
    </row>
    <row r="2" spans="1:9" s="5" customFormat="1" ht="12.75" customHeight="1">
      <c r="A2" s="740"/>
      <c r="I2" s="30"/>
    </row>
    <row r="3" ht="16.5" thickBot="1">
      <c r="A3" s="879" t="s">
        <v>250</v>
      </c>
    </row>
    <row r="4" spans="1:10" ht="13.5" thickBot="1">
      <c r="A4" s="907"/>
      <c r="B4" s="716">
        <f>výchozí_rok</f>
        <v>1997</v>
      </c>
      <c r="C4" s="717">
        <f>B4+1</f>
        <v>1998</v>
      </c>
      <c r="D4" s="717">
        <f aca="true" t="shared" si="0" ref="D4:J4">C4+1</f>
        <v>1999</v>
      </c>
      <c r="E4" s="717">
        <f t="shared" si="0"/>
        <v>2000</v>
      </c>
      <c r="F4" s="814">
        <f t="shared" si="0"/>
        <v>2001</v>
      </c>
      <c r="G4" s="716">
        <f t="shared" si="0"/>
        <v>2002</v>
      </c>
      <c r="H4" s="717">
        <f t="shared" si="0"/>
        <v>2003</v>
      </c>
      <c r="I4" s="717">
        <f t="shared" si="0"/>
        <v>2004</v>
      </c>
      <c r="J4" s="814">
        <f t="shared" si="0"/>
        <v>2005</v>
      </c>
    </row>
    <row r="5" spans="1:10" ht="12.75">
      <c r="A5" s="140" t="s">
        <v>417</v>
      </c>
      <c r="B5" s="909"/>
      <c r="C5" s="910">
        <f>C7/B7-1</f>
        <v>0.22745921853529905</v>
      </c>
      <c r="D5" s="910">
        <f>D7/C7-1</f>
        <v>0.036610392035903994</v>
      </c>
      <c r="E5" s="910">
        <f>E7/D7-1</f>
        <v>-0.016993718122446877</v>
      </c>
      <c r="F5" s="911">
        <f>F7/E7-1</f>
        <v>0.05246677019392476</v>
      </c>
      <c r="G5" s="912">
        <f>'7 Tržby UNIPO'!E11</f>
        <v>0.048</v>
      </c>
      <c r="H5" s="913">
        <f>'7 Tržby UNIPO'!E12</f>
        <v>0.047</v>
      </c>
      <c r="I5" s="913">
        <f>'7 Tržby UNIPO'!E13</f>
        <v>0.041</v>
      </c>
      <c r="J5" s="914">
        <f>'7 Tržby UNIPO'!E14</f>
        <v>0.051</v>
      </c>
    </row>
    <row r="6" spans="1:10" ht="13.5" thickBot="1">
      <c r="A6" s="94" t="s">
        <v>418</v>
      </c>
      <c r="B6" s="332"/>
      <c r="C6" s="1275">
        <f>(F7/B7)^(1/4)-1</f>
        <v>0.07114145855958909</v>
      </c>
      <c r="D6" s="1276"/>
      <c r="E6" s="1276"/>
      <c r="F6" s="1277"/>
      <c r="G6" s="1278">
        <f>(J7/F7)^(1/4)-1</f>
        <v>0.046743692210981624</v>
      </c>
      <c r="H6" s="1279"/>
      <c r="I6" s="1279"/>
      <c r="J6" s="1280"/>
    </row>
    <row r="7" spans="1:10" ht="13.5" thickBot="1">
      <c r="A7" s="94" t="s">
        <v>248</v>
      </c>
      <c r="B7" s="338">
        <f>'9 Výsledovka'!D4</f>
        <v>1439502</v>
      </c>
      <c r="C7" s="125">
        <f>'9 Výsledovka'!E4</f>
        <v>1766930</v>
      </c>
      <c r="D7" s="125">
        <f>'9 Výsledovka'!F4</f>
        <v>1831618</v>
      </c>
      <c r="E7" s="125">
        <f>'9 Výsledovka'!G4</f>
        <v>1800492</v>
      </c>
      <c r="F7" s="126">
        <f>'9 Výsledovka'!H4</f>
        <v>1894958</v>
      </c>
      <c r="G7" s="881">
        <f>(1+G5)*F7</f>
        <v>1985915.9840000002</v>
      </c>
      <c r="H7" s="882">
        <f>(1+H5)*G7</f>
        <v>2079254.035248</v>
      </c>
      <c r="I7" s="882">
        <f>(1+I5)*H7</f>
        <v>2164503.4506931677</v>
      </c>
      <c r="J7" s="883">
        <f>(1+J5)*I7</f>
        <v>2274893.126678519</v>
      </c>
    </row>
    <row r="8" ht="24" customHeight="1"/>
    <row r="9" ht="16.5" thickBot="1">
      <c r="A9" s="879" t="s">
        <v>252</v>
      </c>
    </row>
    <row r="10" spans="1:10" ht="13.5" thickBot="1">
      <c r="A10" s="908"/>
      <c r="B10" s="716">
        <f>B4</f>
        <v>1997</v>
      </c>
      <c r="C10" s="717">
        <f aca="true" t="shared" si="1" ref="C10:J10">C4</f>
        <v>1998</v>
      </c>
      <c r="D10" s="717">
        <f t="shared" si="1"/>
        <v>1999</v>
      </c>
      <c r="E10" s="717">
        <f t="shared" si="1"/>
        <v>2000</v>
      </c>
      <c r="F10" s="814">
        <f t="shared" si="1"/>
        <v>2001</v>
      </c>
      <c r="G10" s="716">
        <f t="shared" si="1"/>
        <v>2002</v>
      </c>
      <c r="H10" s="717">
        <f t="shared" si="1"/>
        <v>2003</v>
      </c>
      <c r="I10" s="717">
        <f>I4</f>
        <v>2004</v>
      </c>
      <c r="J10" s="814">
        <f t="shared" si="1"/>
        <v>2005</v>
      </c>
    </row>
    <row r="11" spans="1:10" ht="12.75">
      <c r="A11" s="140" t="s">
        <v>662</v>
      </c>
      <c r="B11" s="339">
        <f>'9 Výsledovka'!D17-'9 Výsledovka'!D14+'9 Výsledovka'!D15+'9 Výsledovka'!D13</f>
        <v>77010</v>
      </c>
      <c r="C11" s="340">
        <f>'9 Výsledovka'!E17-'9 Výsledovka'!E14+'9 Výsledovka'!E15+'9 Výsledovka'!E13</f>
        <v>82421</v>
      </c>
      <c r="D11" s="340">
        <f>'9 Výsledovka'!F17-'9 Výsledovka'!F14+'9 Výsledovka'!F15+'9 Výsledovka'!F13</f>
        <v>80925</v>
      </c>
      <c r="E11" s="340">
        <f>'9 Výsledovka'!G17-'9 Výsledovka'!G14+'9 Výsledovka'!G15+'9 Výsledovka'!G13</f>
        <v>95777</v>
      </c>
      <c r="F11" s="341">
        <f>'9 Výsledovka'!H17-'9 Výsledovka'!H14+'9 Výsledovka'!H15+'9 Výsledovka'!H13</f>
        <v>97334</v>
      </c>
      <c r="G11" s="884">
        <f>G16*G7</f>
        <v>99295.79920000001</v>
      </c>
      <c r="H11" s="885">
        <f>H16*H7</f>
        <v>102923.07474477601</v>
      </c>
      <c r="I11" s="885">
        <f>I16*I7</f>
        <v>104978.41735861864</v>
      </c>
      <c r="J11" s="886">
        <f>J16*J7</f>
        <v>108057.42351722965</v>
      </c>
    </row>
    <row r="12" spans="1:10" ht="13.5" thickBot="1">
      <c r="A12" s="94" t="s">
        <v>418</v>
      </c>
      <c r="B12" s="343"/>
      <c r="C12" s="1281">
        <f>(F11/B11)^(1/4)-1</f>
        <v>0.060301466274552906</v>
      </c>
      <c r="D12" s="1282"/>
      <c r="E12" s="1282"/>
      <c r="F12" s="1283"/>
      <c r="G12" s="1284">
        <f>(J11/F11)^(1/4)-1</f>
        <v>0.026472950094282188</v>
      </c>
      <c r="H12" s="1285"/>
      <c r="I12" s="1285"/>
      <c r="J12" s="1286"/>
    </row>
    <row r="13" ht="15.75" customHeight="1"/>
    <row r="14" ht="12.75">
      <c r="A14" s="880" t="s">
        <v>253</v>
      </c>
    </row>
    <row r="15" ht="13.5" thickBot="1">
      <c r="A15" s="880"/>
    </row>
    <row r="16" spans="1:10" s="86" customFormat="1" ht="13.5" thickBot="1">
      <c r="A16" s="43" t="s">
        <v>270</v>
      </c>
      <c r="B16" s="136">
        <f>B11/'9 Výsledovka'!D$4</f>
        <v>0.053497667943497126</v>
      </c>
      <c r="C16" s="127">
        <f>C11/'9 Výsledovka'!E$4</f>
        <v>0.04664644326600375</v>
      </c>
      <c r="D16" s="127">
        <f>D11/'9 Výsledovka'!F$4</f>
        <v>0.04418224760839869</v>
      </c>
      <c r="E16" s="127">
        <f>E11/'9 Výsledovka'!G$4</f>
        <v>0.05319490450388005</v>
      </c>
      <c r="F16" s="157">
        <f>F11/'9 Výsledovka'!H$4</f>
        <v>0.05136472681716429</v>
      </c>
      <c r="G16" s="887">
        <v>0.05</v>
      </c>
      <c r="H16" s="888">
        <v>0.0495</v>
      </c>
      <c r="I16" s="888">
        <v>0.0485</v>
      </c>
      <c r="J16" s="889">
        <v>0.0475</v>
      </c>
    </row>
    <row r="17" spans="1:6" s="86" customFormat="1" ht="13.5" thickBot="1">
      <c r="A17" s="82" t="s">
        <v>266</v>
      </c>
      <c r="B17" s="87"/>
      <c r="C17" s="87"/>
      <c r="D17" s="87"/>
      <c r="E17" s="87"/>
      <c r="F17" s="87"/>
    </row>
    <row r="18" spans="1:10" ht="12.75">
      <c r="A18" s="140" t="s">
        <v>68</v>
      </c>
      <c r="B18" s="137">
        <f>'9 Výsledovka'!D6/'9 Výsledovka'!D4</f>
        <v>0.15627626776482423</v>
      </c>
      <c r="C18" s="128">
        <f>'9 Výsledovka'!E6/'9 Výsledovka'!E4</f>
        <v>0.13479085192961804</v>
      </c>
      <c r="D18" s="128">
        <f>'9 Výsledovka'!F6/'9 Výsledovka'!F4</f>
        <v>0.13109611283575506</v>
      </c>
      <c r="E18" s="128">
        <f>'9 Výsledovka'!G6/'9 Výsledovka'!G4</f>
        <v>0.13926859991602294</v>
      </c>
      <c r="F18" s="145">
        <f>'9 Výsledovka'!H6/'9 Výsledovka'!H4</f>
        <v>0.13901205198215474</v>
      </c>
      <c r="G18" s="151">
        <v>0.139</v>
      </c>
      <c r="H18" s="128">
        <v>0.139</v>
      </c>
      <c r="I18" s="128">
        <v>0.14</v>
      </c>
      <c r="J18" s="129">
        <v>0.141</v>
      </c>
    </row>
    <row r="19" spans="1:10" ht="12.75">
      <c r="A19" s="100" t="s">
        <v>71</v>
      </c>
      <c r="B19" s="138">
        <f>'9 Výsledovka'!D8/'9 Výsledovka'!D4</f>
        <v>0.1358025205939276</v>
      </c>
      <c r="C19" s="116">
        <f>'9 Výsledovka'!E8/'9 Výsledovka'!E4</f>
        <v>0.11834368084757178</v>
      </c>
      <c r="D19" s="116">
        <f>'9 Výsledovka'!F8/'9 Výsledovka'!F4</f>
        <v>0.11737545710950646</v>
      </c>
      <c r="E19" s="116">
        <f>'9 Výsledovka'!G8/'9 Výsledovka'!G4</f>
        <v>0.12382226635830651</v>
      </c>
      <c r="F19" s="146">
        <f>'9 Výsledovka'!H8/'9 Výsledovka'!H4</f>
        <v>0.1225483625494602</v>
      </c>
      <c r="G19" s="152">
        <v>0.1225</v>
      </c>
      <c r="H19" s="116">
        <v>0.1225</v>
      </c>
      <c r="I19" s="116">
        <v>0.123</v>
      </c>
      <c r="J19" s="130">
        <v>0.1235</v>
      </c>
    </row>
    <row r="20" spans="1:10" ht="12.75">
      <c r="A20" s="141" t="s">
        <v>72</v>
      </c>
      <c r="B20" s="117">
        <f>'9 Výsledovka'!D9/'9 Výsledovka'!D$4</f>
        <v>0.07909263064587614</v>
      </c>
      <c r="C20" s="120">
        <f>'9 Výsledovka'!E9/'9 Výsledovka'!E$4</f>
        <v>0.06709264090824198</v>
      </c>
      <c r="D20" s="120">
        <f>'9 Výsledovka'!F9/'9 Výsledovka'!F$4</f>
        <v>0.06718322270255042</v>
      </c>
      <c r="E20" s="120">
        <f>'9 Výsledovka'!G9/'9 Výsledovka'!G$4</f>
        <v>0.06979425623662866</v>
      </c>
      <c r="F20" s="147">
        <f>'9 Výsledovka'!H9/'9 Výsledovka'!H$4</f>
        <v>0.06843740072339334</v>
      </c>
      <c r="G20" s="153">
        <f>G19-G23-G16</f>
        <v>0.0694891566426047</v>
      </c>
      <c r="H20" s="120">
        <f>H19-H23-H16</f>
        <v>0.0699891566426047</v>
      </c>
      <c r="I20" s="120">
        <f>I19-I23-I16</f>
        <v>0.0714891566426047</v>
      </c>
      <c r="J20" s="131">
        <f>J19-J23-J16</f>
        <v>0.0729891566426047</v>
      </c>
    </row>
    <row r="21" spans="1:10" s="88" customFormat="1" ht="12.75">
      <c r="A21" s="142" t="s">
        <v>267</v>
      </c>
      <c r="B21" s="118">
        <f>'9 Výsledovka'!D10/'9 Výsledovka'!D$4</f>
        <v>0.05892315536900956</v>
      </c>
      <c r="C21" s="121">
        <f>'9 Výsledovka'!E10/'9 Výsledovka'!E$4</f>
        <v>0.050022355158382055</v>
      </c>
      <c r="D21" s="121">
        <f>'9 Výsledovka'!F10/'9 Výsledovka'!F$4</f>
        <v>0.050097782397858066</v>
      </c>
      <c r="E21" s="121">
        <f>'9 Výsledovka'!G10/'9 Výsledovka'!G$4</f>
        <v>0.052012449930352374</v>
      </c>
      <c r="F21" s="148">
        <f>'9 Výsledovka'!H10/'9 Výsledovka'!H$4</f>
        <v>0.0509214452246435</v>
      </c>
      <c r="G21" s="154">
        <f>G20/1.35</f>
        <v>0.05147344936489237</v>
      </c>
      <c r="H21" s="121">
        <f>H20/1.35</f>
        <v>0.05184381973526274</v>
      </c>
      <c r="I21" s="121">
        <f>I20/1.35</f>
        <v>0.05295493084637385</v>
      </c>
      <c r="J21" s="132">
        <f>J20/1.35</f>
        <v>0.05406604195748496</v>
      </c>
    </row>
    <row r="22" spans="1:10" s="88" customFormat="1" ht="12.75">
      <c r="A22" s="143" t="s">
        <v>268</v>
      </c>
      <c r="B22" s="119">
        <f>'9 Výsledovka'!D11/'9 Výsledovka'!D$4</f>
        <v>0.020169475276866584</v>
      </c>
      <c r="C22" s="122">
        <f>'9 Výsledovka'!E11/'9 Výsledovka'!E$4</f>
        <v>0.017070285749859925</v>
      </c>
      <c r="D22" s="122">
        <f>'9 Výsledovka'!F11/'9 Výsledovka'!F$4</f>
        <v>0.017085440304692355</v>
      </c>
      <c r="E22" s="122">
        <f>'9 Výsledovka'!G11/'9 Výsledovka'!G$4</f>
        <v>0.017781806306276283</v>
      </c>
      <c r="F22" s="149">
        <f>'9 Výsledovka'!H11/'9 Výsledovka'!H$4</f>
        <v>0.01751595549874984</v>
      </c>
      <c r="G22" s="155">
        <f>G21*0.35</f>
        <v>0.018015707277712328</v>
      </c>
      <c r="H22" s="122">
        <f>H21*0.35</f>
        <v>0.018145336907341957</v>
      </c>
      <c r="I22" s="122">
        <f>I21*0.35</f>
        <v>0.018534225796230847</v>
      </c>
      <c r="J22" s="133">
        <f>J21*0.35</f>
        <v>0.018923114685119737</v>
      </c>
    </row>
    <row r="23" spans="1:10" ht="12.75">
      <c r="A23" s="72" t="s">
        <v>76</v>
      </c>
      <c r="B23" s="138">
        <f>'9 Výsledovka'!D12/'9 Výsledovka'!D$4</f>
        <v>0.003633200926431502</v>
      </c>
      <c r="C23" s="116">
        <f>'9 Výsledovka'!E12/'9 Výsledovka'!E$4</f>
        <v>0.002448314307867318</v>
      </c>
      <c r="D23" s="116">
        <f>'9 Výsledovka'!F12/'9 Výsledovka'!F$4</f>
        <v>0.0029503968622278227</v>
      </c>
      <c r="E23" s="116">
        <f>'9 Výsledovka'!G12/'9 Výsledovka'!G$4</f>
        <v>0.0038533911841874334</v>
      </c>
      <c r="F23" s="146">
        <f>'9 Výsledovka'!H12/'9 Výsledovka'!H$4</f>
        <v>0.002168913506262408</v>
      </c>
      <c r="G23" s="152">
        <f>AVERAGE(B23:F23)</f>
        <v>0.003010843357395297</v>
      </c>
      <c r="H23" s="116">
        <f>G23</f>
        <v>0.003010843357395297</v>
      </c>
      <c r="I23" s="116">
        <f>H23</f>
        <v>0.003010843357395297</v>
      </c>
      <c r="J23" s="130">
        <f>I23</f>
        <v>0.003010843357395297</v>
      </c>
    </row>
    <row r="24" spans="1:16" ht="13.5" thickBot="1">
      <c r="A24" s="144" t="s">
        <v>265</v>
      </c>
      <c r="B24" s="139">
        <f>'9 Výsledovka'!D16/'9 Výsledovka'!D$4</f>
        <v>0.0004209789218771492</v>
      </c>
      <c r="C24" s="134">
        <f>'9 Výsledovka'!E16/'9 Výsledovka'!E$4</f>
        <v>-0.0021562823654587334</v>
      </c>
      <c r="D24" s="134">
        <f>'9 Výsledovka'!F16/'9 Výsledovka'!F$4</f>
        <v>-0.0030595899363295184</v>
      </c>
      <c r="E24" s="134">
        <f>'9 Výsledovka'!G16/'9 Výsledovka'!G$4</f>
        <v>0.003020285566389631</v>
      </c>
      <c r="F24" s="150">
        <f>'9 Výsledovka'!H16/'9 Výsledovka'!H$4</f>
        <v>-0.0005773215026401641</v>
      </c>
      <c r="G24" s="156">
        <v>0</v>
      </c>
      <c r="H24" s="134">
        <v>0</v>
      </c>
      <c r="I24" s="134">
        <v>0</v>
      </c>
      <c r="J24" s="135">
        <v>0</v>
      </c>
      <c r="L24" s="349"/>
      <c r="M24" s="349"/>
      <c r="N24" s="349"/>
      <c r="O24" s="349"/>
      <c r="P24" s="349"/>
    </row>
    <row r="25" spans="1:12" ht="13.5" thickBot="1">
      <c r="A25" s="4"/>
      <c r="B25" s="84"/>
      <c r="C25" s="84"/>
      <c r="D25" s="84"/>
      <c r="E25" s="84"/>
      <c r="F25" s="84"/>
      <c r="G25" s="84"/>
      <c r="H25" s="84"/>
      <c r="I25" s="84"/>
      <c r="J25" s="84"/>
      <c r="L25" s="84"/>
    </row>
    <row r="26" spans="1:12" ht="12.75">
      <c r="A26" s="347" t="s">
        <v>419</v>
      </c>
      <c r="B26" s="339">
        <f>'9 Výsledovka'!D7</f>
        <v>29472</v>
      </c>
      <c r="C26" s="339">
        <f>'9 Výsledovka'!E7</f>
        <v>29061</v>
      </c>
      <c r="D26" s="339">
        <f>'9 Výsledovka'!F7</f>
        <v>25131</v>
      </c>
      <c r="E26" s="339">
        <f>'9 Výsledovka'!G7</f>
        <v>27811</v>
      </c>
      <c r="F26" s="345">
        <f>'9 Výsledovka'!H7</f>
        <v>31198</v>
      </c>
      <c r="G26" s="342">
        <f>G7*G18-G7*G19</f>
        <v>32767.613736</v>
      </c>
      <c r="H26" s="339">
        <f>H7*H18-H7*H19</f>
        <v>34307.69158159205</v>
      </c>
      <c r="I26" s="339">
        <f>I7*I18-I7*I19</f>
        <v>36796.55866178387</v>
      </c>
      <c r="J26" s="346">
        <f>J7*J18-J7*J19</f>
        <v>39810.6297168741</v>
      </c>
      <c r="L26" s="84"/>
    </row>
    <row r="27" spans="1:12" ht="12.75">
      <c r="A27" s="169" t="s">
        <v>417</v>
      </c>
      <c r="B27" s="101"/>
      <c r="C27" s="122">
        <f>C26/B26-1</f>
        <v>-0.013945439739413645</v>
      </c>
      <c r="D27" s="122">
        <f aca="true" t="shared" si="2" ref="D27:J27">D26/C26-1</f>
        <v>-0.13523278620832047</v>
      </c>
      <c r="E27" s="122">
        <f t="shared" si="2"/>
        <v>0.10664120011141609</v>
      </c>
      <c r="F27" s="149">
        <f t="shared" si="2"/>
        <v>0.12178634353313433</v>
      </c>
      <c r="G27" s="155">
        <f t="shared" si="2"/>
        <v>0.05031135765113137</v>
      </c>
      <c r="H27" s="122">
        <f t="shared" si="2"/>
        <v>0.047000000000001485</v>
      </c>
      <c r="I27" s="122">
        <f t="shared" si="2"/>
        <v>0.07254545454545336</v>
      </c>
      <c r="J27" s="133">
        <f t="shared" si="2"/>
        <v>0.08191176470588224</v>
      </c>
      <c r="L27" s="84"/>
    </row>
    <row r="28" spans="1:12" ht="12.75">
      <c r="A28" s="100" t="s">
        <v>420</v>
      </c>
      <c r="B28" s="98"/>
      <c r="C28" s="1275">
        <f>(F26/B26)^(1/4)-1</f>
        <v>0.014330037043650767</v>
      </c>
      <c r="D28" s="1276"/>
      <c r="E28" s="1276"/>
      <c r="F28" s="1276"/>
      <c r="G28" s="1287">
        <f>(J26/F26)^(1/4)-1</f>
        <v>0.06284044698772595</v>
      </c>
      <c r="H28" s="1276"/>
      <c r="I28" s="1276"/>
      <c r="J28" s="1277"/>
      <c r="L28" s="84"/>
    </row>
    <row r="29" spans="1:12" ht="13.5" thickBot="1">
      <c r="A29" s="94" t="s">
        <v>421</v>
      </c>
      <c r="B29" s="343"/>
      <c r="C29" s="1289">
        <f>'6 Vnější potenciál'!F8/100-1</f>
        <v>0.10699999999999998</v>
      </c>
      <c r="D29" s="1290"/>
      <c r="E29" s="1290"/>
      <c r="F29" s="1291"/>
      <c r="G29" s="1282">
        <f>(('6 Vnější potenciál'!F12/100)*('6 Vnější potenciál'!F13/100)*('6 Vnější potenciál'!F14/100)*('6 Vnější potenciál'!F15/100))^(1/4)-1</f>
        <v>0.021743797085906236</v>
      </c>
      <c r="H29" s="1282"/>
      <c r="I29" s="1282"/>
      <c r="J29" s="1283"/>
      <c r="L29" s="84"/>
    </row>
    <row r="30" spans="3:12" ht="13.5" thickBot="1">
      <c r="C30" s="344"/>
      <c r="D30" s="344"/>
      <c r="E30" s="344"/>
      <c r="F30" s="344"/>
      <c r="G30" s="344"/>
      <c r="H30" s="344"/>
      <c r="I30" s="344"/>
      <c r="J30" s="344"/>
      <c r="L30" s="84"/>
    </row>
    <row r="31" spans="1:12" ht="12.75">
      <c r="A31" s="347" t="s">
        <v>661</v>
      </c>
      <c r="B31" s="339">
        <f>'9 Výsledovka'!D9</f>
        <v>113854</v>
      </c>
      <c r="C31" s="339">
        <f>'9 Výsledovka'!E9</f>
        <v>118548</v>
      </c>
      <c r="D31" s="339">
        <f>'9 Výsledovka'!F9</f>
        <v>123054</v>
      </c>
      <c r="E31" s="339">
        <f>'9 Výsledovka'!G9</f>
        <v>125664</v>
      </c>
      <c r="F31" s="345">
        <f>'9 Výsledovka'!H9</f>
        <v>129686</v>
      </c>
      <c r="G31" s="342">
        <f>G20*G7</f>
        <v>137999.62689122846</v>
      </c>
      <c r="H31" s="339">
        <f>H20*H7</f>
        <v>145525.23637274018</v>
      </c>
      <c r="I31" s="339">
        <f>I20*I7</f>
        <v>154738.5262400623</v>
      </c>
      <c r="J31" s="346">
        <f>J20*J7</f>
        <v>166042.5307683232</v>
      </c>
      <c r="L31" s="84"/>
    </row>
    <row r="32" spans="1:12" ht="12.75">
      <c r="A32" s="169" t="s">
        <v>417</v>
      </c>
      <c r="B32" s="101"/>
      <c r="C32" s="122">
        <f aca="true" t="shared" si="3" ref="C32:J32">C31/B31-1</f>
        <v>0.04122823967537381</v>
      </c>
      <c r="D32" s="122">
        <f t="shared" si="3"/>
        <v>0.03800992003239201</v>
      </c>
      <c r="E32" s="122">
        <f t="shared" si="3"/>
        <v>0.021210200399824464</v>
      </c>
      <c r="F32" s="149">
        <f t="shared" si="3"/>
        <v>0.03200598421186651</v>
      </c>
      <c r="G32" s="155">
        <f t="shared" si="3"/>
        <v>0.0641058162887933</v>
      </c>
      <c r="H32" s="122">
        <f t="shared" si="3"/>
        <v>0.054533549481575294</v>
      </c>
      <c r="I32" s="122">
        <f t="shared" si="3"/>
        <v>0.06331059888281998</v>
      </c>
      <c r="J32" s="133">
        <f t="shared" si="3"/>
        <v>0.07305229539748748</v>
      </c>
      <c r="L32" s="84"/>
    </row>
    <row r="33" spans="1:12" ht="13.5" thickBot="1">
      <c r="A33" s="94" t="s">
        <v>418</v>
      </c>
      <c r="B33" s="343"/>
      <c r="C33" s="1281">
        <f>(F31/B31)^(1/4)-1</f>
        <v>0.03308534422690723</v>
      </c>
      <c r="D33" s="1282"/>
      <c r="E33" s="1282"/>
      <c r="F33" s="1282"/>
      <c r="G33" s="1288">
        <f>(J31/F31)^(1/4)-1</f>
        <v>0.06373037858710595</v>
      </c>
      <c r="H33" s="1282"/>
      <c r="I33" s="1282"/>
      <c r="J33" s="1283"/>
      <c r="L33" s="84"/>
    </row>
    <row r="34" spans="3:12" ht="12.75">
      <c r="C34" s="344"/>
      <c r="D34" s="344"/>
      <c r="E34" s="344"/>
      <c r="F34" s="344"/>
      <c r="G34" s="344"/>
      <c r="H34" s="344"/>
      <c r="I34" s="344"/>
      <c r="J34" s="344"/>
      <c r="L34" s="84"/>
    </row>
    <row r="35" spans="2:10" ht="12.75">
      <c r="B35" s="84"/>
      <c r="C35" s="84"/>
      <c r="D35" s="84"/>
      <c r="E35" s="84"/>
      <c r="F35" s="84"/>
      <c r="G35" s="84"/>
      <c r="H35" s="84"/>
      <c r="I35" s="84"/>
      <c r="J35" s="84"/>
    </row>
    <row r="36" ht="15.75">
      <c r="A36" s="879" t="s">
        <v>255</v>
      </c>
    </row>
    <row r="37" ht="15.75">
      <c r="A37" s="879"/>
    </row>
    <row r="38" ht="13.5" thickBot="1">
      <c r="A38" s="880" t="s">
        <v>666</v>
      </c>
    </row>
    <row r="39" spans="1:10" ht="13.5" thickBot="1">
      <c r="A39" s="857"/>
      <c r="B39" s="716">
        <f>B4</f>
        <v>1997</v>
      </c>
      <c r="C39" s="717">
        <f aca="true" t="shared" si="4" ref="C39:J39">C4</f>
        <v>1998</v>
      </c>
      <c r="D39" s="717">
        <f t="shared" si="4"/>
        <v>1999</v>
      </c>
      <c r="E39" s="717">
        <f t="shared" si="4"/>
        <v>2000</v>
      </c>
      <c r="F39" s="814">
        <f t="shared" si="4"/>
        <v>2001</v>
      </c>
      <c r="G39" s="716">
        <f t="shared" si="4"/>
        <v>2002</v>
      </c>
      <c r="H39" s="717">
        <f t="shared" si="4"/>
        <v>2003</v>
      </c>
      <c r="I39" s="717">
        <f t="shared" si="4"/>
        <v>2004</v>
      </c>
      <c r="J39" s="814">
        <f t="shared" si="4"/>
        <v>2005</v>
      </c>
    </row>
    <row r="40" spans="1:10" ht="12.75">
      <c r="A40" s="890" t="s">
        <v>256</v>
      </c>
      <c r="B40" s="891">
        <f>'8 Rozvaha'!C16/'16 Generátory'!B$7*365</f>
        <v>27.57362615682368</v>
      </c>
      <c r="C40" s="892">
        <f>'8 Rozvaha'!D16/'16 Generátory'!C$7*365</f>
        <v>28.433118459701287</v>
      </c>
      <c r="D40" s="892">
        <f>'8 Rozvaha'!E16/'16 Generátory'!D$7*365</f>
        <v>27.59553029070472</v>
      </c>
      <c r="E40" s="892">
        <f>'8 Rozvaha'!F16/'16 Generátory'!E$7*365</f>
        <v>28.658455577697648</v>
      </c>
      <c r="F40" s="893">
        <f>'8 Rozvaha'!G16/'16 Generátory'!F$7*365</f>
        <v>25.7273881531939</v>
      </c>
      <c r="G40" s="901">
        <f>G41+G42</f>
        <v>28.5</v>
      </c>
      <c r="H40" s="902">
        <f>H41+H42</f>
        <v>28.5</v>
      </c>
      <c r="I40" s="902">
        <f>I41+I42</f>
        <v>28.5</v>
      </c>
      <c r="J40" s="903">
        <f>J41+J42</f>
        <v>28.5</v>
      </c>
    </row>
    <row r="41" spans="1:10" ht="12.75">
      <c r="A41" s="100" t="s">
        <v>257</v>
      </c>
      <c r="B41" s="167">
        <f>'8 Rozvaha'!C17/'16 Generátory'!B$7*365</f>
        <v>0.5066127035599811</v>
      </c>
      <c r="C41" s="123">
        <f>'8 Rozvaha'!D17/'16 Generátory'!C$7*365</f>
        <v>0.39166237485355954</v>
      </c>
      <c r="D41" s="123">
        <f>'8 Rozvaha'!E17/'16 Generátory'!D$7*365</f>
        <v>0.40612726016014256</v>
      </c>
      <c r="E41" s="123">
        <f>'8 Rozvaha'!F17/'16 Generátory'!E$7*365</f>
        <v>0.4577471046802763</v>
      </c>
      <c r="F41" s="158">
        <f>'8 Rozvaha'!G17/'16 Generátory'!F$7*365</f>
        <v>0.24847516409334666</v>
      </c>
      <c r="G41" s="103">
        <v>0.5</v>
      </c>
      <c r="H41" s="96">
        <f aca="true" t="shared" si="5" ref="H41:J42">G41</f>
        <v>0.5</v>
      </c>
      <c r="I41" s="96">
        <f t="shared" si="5"/>
        <v>0.5</v>
      </c>
      <c r="J41" s="161">
        <f t="shared" si="5"/>
        <v>0.5</v>
      </c>
    </row>
    <row r="42" spans="1:10" ht="13.5" thickBot="1">
      <c r="A42" s="170" t="s">
        <v>258</v>
      </c>
      <c r="B42" s="168">
        <f>'8 Rozvaha'!C18/'16 Generátory'!B$7*365</f>
        <v>27.067013453263698</v>
      </c>
      <c r="C42" s="159">
        <f>'8 Rozvaha'!D18/'16 Generátory'!C$7*365</f>
        <v>28.041456084847727</v>
      </c>
      <c r="D42" s="159">
        <f>'8 Rozvaha'!E18/'16 Generátory'!D$7*365</f>
        <v>27.18940303054458</v>
      </c>
      <c r="E42" s="159">
        <f>'8 Rozvaha'!F18/'16 Generátory'!E$7*365</f>
        <v>28.20070847301737</v>
      </c>
      <c r="F42" s="160">
        <f>'8 Rozvaha'!G18/'16 Generátory'!F$7*365</f>
        <v>25.47891298910055</v>
      </c>
      <c r="G42" s="124">
        <v>28</v>
      </c>
      <c r="H42" s="162">
        <f t="shared" si="5"/>
        <v>28</v>
      </c>
      <c r="I42" s="162">
        <f t="shared" si="5"/>
        <v>28</v>
      </c>
      <c r="J42" s="163">
        <f t="shared" si="5"/>
        <v>28</v>
      </c>
    </row>
    <row r="43" ht="13.5" thickBot="1"/>
    <row r="44" spans="1:10" ht="13.5" thickBot="1">
      <c r="A44" s="93" t="s">
        <v>259</v>
      </c>
      <c r="B44" s="894">
        <f>'8 Rozvaha'!C21/'16 Generátory'!B$7*365</f>
        <v>11.217490493240023</v>
      </c>
      <c r="C44" s="895">
        <f>'8 Rozvaha'!D21/'16 Generátory'!C$7*365</f>
        <v>9.218112771869853</v>
      </c>
      <c r="D44" s="895">
        <f>'8 Rozvaha'!E21/'16 Generátory'!D$7*365</f>
        <v>9.29828162859286</v>
      </c>
      <c r="E44" s="895">
        <f>'8 Rozvaha'!F21/'16 Generátory'!E$7*365</f>
        <v>9.53443836462478</v>
      </c>
      <c r="F44" s="896">
        <f>'8 Rozvaha'!G21/'16 Generátory'!F$7*365</f>
        <v>11.38863763735133</v>
      </c>
      <c r="G44" s="253">
        <v>12</v>
      </c>
      <c r="H44" s="255">
        <f>G44</f>
        <v>12</v>
      </c>
      <c r="I44" s="255">
        <f>H44</f>
        <v>12</v>
      </c>
      <c r="J44" s="904">
        <f>I44</f>
        <v>12</v>
      </c>
    </row>
    <row r="45" ht="13.5" thickBot="1"/>
    <row r="46" spans="1:10" ht="12.75">
      <c r="A46" s="897" t="s">
        <v>260</v>
      </c>
      <c r="B46" s="898">
        <f>'8 Rozvaha'!C39/'16 Generátory'!B$7*365</f>
        <v>30.055470572461864</v>
      </c>
      <c r="C46" s="899">
        <f>'8 Rozvaha'!D39/'16 Generátory'!C$7*365</f>
        <v>34.678232867176405</v>
      </c>
      <c r="D46" s="899">
        <f>'8 Rozvaha'!E39/'16 Generátory'!D$7*365</f>
        <v>35.79419944551757</v>
      </c>
      <c r="E46" s="899">
        <f>'8 Rozvaha'!F39/'16 Generátory'!E$7*365</f>
        <v>39.14771629088049</v>
      </c>
      <c r="F46" s="900">
        <f>'8 Rozvaha'!G39/'16 Generátory'!F$7*365</f>
        <v>37.80174019688035</v>
      </c>
      <c r="G46" s="905">
        <f>G47+G48+G49+G50</f>
        <v>39</v>
      </c>
      <c r="H46" s="899">
        <f>H47+H48+H49+H50</f>
        <v>39</v>
      </c>
      <c r="I46" s="899">
        <f>I47+I48+I49+I50</f>
        <v>39.699999999999996</v>
      </c>
      <c r="J46" s="906">
        <f>J47+J48+J49+J50</f>
        <v>39.699999999999996</v>
      </c>
    </row>
    <row r="47" spans="1:10" ht="12.75">
      <c r="A47" s="72" t="s">
        <v>269</v>
      </c>
      <c r="B47" s="167">
        <f>'8 Rozvaha'!C40/'16 Generátory'!B$7*365</f>
        <v>20.993239328601142</v>
      </c>
      <c r="C47" s="123">
        <f>'8 Rozvaha'!D40/'16 Generátory'!C$7*365</f>
        <v>23.91867249975947</v>
      </c>
      <c r="D47" s="123">
        <f>'8 Rozvaha'!E40/'16 Generátory'!D$7*365</f>
        <v>23.898935258334433</v>
      </c>
      <c r="E47" s="123">
        <f>'8 Rozvaha'!F40/'16 Generátory'!E$7*365</f>
        <v>28.1106997420705</v>
      </c>
      <c r="F47" s="171">
        <f>'8 Rozvaha'!G40/'16 Generátory'!F$7*365</f>
        <v>28.039555494105937</v>
      </c>
      <c r="G47" s="173">
        <v>28</v>
      </c>
      <c r="H47" s="123">
        <f>G47</f>
        <v>28</v>
      </c>
      <c r="I47" s="123">
        <f>H47</f>
        <v>28</v>
      </c>
      <c r="J47" s="158">
        <f>I47</f>
        <v>28</v>
      </c>
    </row>
    <row r="48" spans="1:10" ht="12.75">
      <c r="A48" s="72" t="s">
        <v>261</v>
      </c>
      <c r="B48" s="167">
        <f>'8 Rozvaha'!C41/'16 Generátory'!B$7*365</f>
        <v>7.447054606384708</v>
      </c>
      <c r="C48" s="123">
        <f>'8 Rozvaha'!D41/'16 Generátory'!C$7*365</f>
        <v>8.920647677044364</v>
      </c>
      <c r="D48" s="123">
        <f>'8 Rozvaha'!E41/'16 Generátory'!D$7*365</f>
        <v>9.915642890602735</v>
      </c>
      <c r="E48" s="123">
        <f>'8 Rozvaha'!F41/'16 Generátory'!E$7*365</f>
        <v>9.115613954408017</v>
      </c>
      <c r="F48" s="171">
        <f>'8 Rozvaha'!G41/'16 Generátory'!F$7*365</f>
        <v>8.02786658068411</v>
      </c>
      <c r="G48" s="173">
        <v>9</v>
      </c>
      <c r="H48" s="123">
        <f>G48</f>
        <v>9</v>
      </c>
      <c r="I48" s="123">
        <v>9.5</v>
      </c>
      <c r="J48" s="158">
        <f>I48</f>
        <v>9.5</v>
      </c>
    </row>
    <row r="49" spans="1:10" ht="12.75">
      <c r="A49" s="72" t="s">
        <v>262</v>
      </c>
      <c r="B49" s="167">
        <f>'8 Rozvaha'!C42/'16 Generátory'!B$7*365</f>
        <v>0.7551014170178298</v>
      </c>
      <c r="C49" s="123">
        <f>'8 Rozvaha'!D42/'16 Generátory'!C$7*365</f>
        <v>0.7630805974203845</v>
      </c>
      <c r="D49" s="123">
        <f>'8 Rozvaha'!E42/'16 Generátory'!D$7*365</f>
        <v>0.7233768176552099</v>
      </c>
      <c r="E49" s="123">
        <f>'8 Rozvaha'!F42/'16 Generátory'!E$7*365</f>
        <v>0.7626415446444639</v>
      </c>
      <c r="F49" s="171">
        <f>'8 Rozvaha'!G42/'16 Generátory'!F$7*365</f>
        <v>0.6637561360199012</v>
      </c>
      <c r="G49" s="103">
        <v>0.8</v>
      </c>
      <c r="H49" s="123">
        <f>G49</f>
        <v>0.8</v>
      </c>
      <c r="I49" s="123">
        <v>0.9</v>
      </c>
      <c r="J49" s="158">
        <f>I49</f>
        <v>0.9</v>
      </c>
    </row>
    <row r="50" spans="1:10" ht="13.5" thickBot="1">
      <c r="A50" s="144" t="s">
        <v>263</v>
      </c>
      <c r="B50" s="168">
        <f>'8 Rozvaha'!C43/'16 Generátory'!B$7*365</f>
        <v>0.8600752204581862</v>
      </c>
      <c r="C50" s="159">
        <f>'8 Rozvaha'!D43/'16 Generátory'!C$7*365</f>
        <v>1.0758320929521825</v>
      </c>
      <c r="D50" s="159">
        <f>'8 Rozvaha'!E43/'16 Generátory'!D$7*365</f>
        <v>1.2562444789251908</v>
      </c>
      <c r="E50" s="159">
        <f>'8 Rozvaha'!F43/'16 Generátory'!E$7*365</f>
        <v>1.1587610497575107</v>
      </c>
      <c r="F50" s="172">
        <f>'8 Rozvaha'!G43/'16 Generátory'!F$7*365</f>
        <v>1.0705619860704036</v>
      </c>
      <c r="G50" s="124">
        <v>1.2</v>
      </c>
      <c r="H50" s="159">
        <f>G50</f>
        <v>1.2</v>
      </c>
      <c r="I50" s="159">
        <v>1.3</v>
      </c>
      <c r="J50" s="160">
        <f>I50</f>
        <v>1.3</v>
      </c>
    </row>
    <row r="52" ht="13.5" thickBot="1">
      <c r="A52" s="880" t="s">
        <v>671</v>
      </c>
    </row>
    <row r="53" spans="1:10" ht="12.75">
      <c r="A53" s="915" t="s">
        <v>665</v>
      </c>
      <c r="B53" s="669">
        <f>'8 Rozvaha'!C23</f>
        <v>12867.699999999953</v>
      </c>
      <c r="C53" s="610">
        <f>'8 Rozvaha'!D23</f>
        <v>24434.461999999956</v>
      </c>
      <c r="D53" s="610">
        <f>'8 Rozvaha'!E23</f>
        <v>18440.885099999956</v>
      </c>
      <c r="E53" s="610">
        <f>'8 Rozvaha'!F23</f>
        <v>21136.811652999953</v>
      </c>
      <c r="F53" s="922">
        <f>'8 Rozvaha'!G23</f>
        <v>21977.24788605995</v>
      </c>
      <c r="G53" s="661"/>
      <c r="H53" s="90"/>
      <c r="I53" s="90"/>
      <c r="J53" s="91"/>
    </row>
    <row r="54" spans="1:10" ht="12.75">
      <c r="A54" s="58" t="s">
        <v>664</v>
      </c>
      <c r="B54" s="853">
        <f>B53/B63</f>
        <v>0.10855703848684727</v>
      </c>
      <c r="C54" s="854">
        <f>C53/C63</f>
        <v>0.1455523904833384</v>
      </c>
      <c r="D54" s="854">
        <f>D53/D63</f>
        <v>0.10266610121367306</v>
      </c>
      <c r="E54" s="854">
        <f>E53/E63</f>
        <v>0.10945477527316014</v>
      </c>
      <c r="F54" s="855">
        <f>F53/F63</f>
        <v>0.11198369401928089</v>
      </c>
      <c r="G54" s="916"/>
      <c r="H54" s="336"/>
      <c r="I54" s="336"/>
      <c r="J54" s="917"/>
    </row>
    <row r="55" spans="1:10" ht="12.75">
      <c r="A55" s="34" t="s">
        <v>274</v>
      </c>
      <c r="B55" s="923">
        <f>IF(B54&lt;B56,B53,B63*B$56)</f>
        <v>12867.699999999953</v>
      </c>
      <c r="C55" s="924">
        <f>IF(C54&lt;C56,C53,C63*C$56)</f>
        <v>24434.461999999956</v>
      </c>
      <c r="D55" s="924">
        <f>IF(D54&lt;D56,D53,D63*D$56)</f>
        <v>18440.885099999956</v>
      </c>
      <c r="E55" s="924">
        <f>IF(E54&lt;E56,E53,E63*E$56)</f>
        <v>21136.811652999953</v>
      </c>
      <c r="F55" s="925">
        <f>IF(F54&lt;F56,F53,F63*F$56)</f>
        <v>21977.24788605995</v>
      </c>
      <c r="G55" s="929">
        <f>G63*G$56</f>
        <v>27585.189147616442</v>
      </c>
      <c r="H55" s="930">
        <f>H63*H$56</f>
        <v>33325.03042794739</v>
      </c>
      <c r="I55" s="930">
        <f>I63*I$56</f>
        <v>35314.022051720036</v>
      </c>
      <c r="J55" s="931">
        <f>J63*J$56</f>
        <v>37115.03717635774</v>
      </c>
    </row>
    <row r="56" spans="1:10" ht="13.5" thickBot="1">
      <c r="A56" s="51" t="s">
        <v>663</v>
      </c>
      <c r="B56" s="926">
        <f>B54</f>
        <v>0.10855703848684727</v>
      </c>
      <c r="C56" s="927">
        <f>C54</f>
        <v>0.1455523904833384</v>
      </c>
      <c r="D56" s="927">
        <f>D54</f>
        <v>0.10266610121367306</v>
      </c>
      <c r="E56" s="927">
        <f>E54</f>
        <v>0.10945477527316014</v>
      </c>
      <c r="F56" s="928">
        <f>F54</f>
        <v>0.11198369401928089</v>
      </c>
      <c r="G56" s="932">
        <v>0.13</v>
      </c>
      <c r="H56" s="933">
        <v>0.15</v>
      </c>
      <c r="I56" s="933">
        <v>0.15</v>
      </c>
      <c r="J56" s="934">
        <v>0.15</v>
      </c>
    </row>
    <row r="57" ht="12.75">
      <c r="A57" s="4"/>
    </row>
    <row r="58" ht="13.5" thickBot="1">
      <c r="A58" s="880" t="s">
        <v>672</v>
      </c>
    </row>
    <row r="59" spans="1:10" ht="13.5" thickBot="1">
      <c r="A59" s="857" t="s">
        <v>291</v>
      </c>
      <c r="B59" s="716">
        <f>B39</f>
        <v>1997</v>
      </c>
      <c r="C59" s="717">
        <f aca="true" t="shared" si="6" ref="C59:J59">C39</f>
        <v>1998</v>
      </c>
      <c r="D59" s="717">
        <f t="shared" si="6"/>
        <v>1999</v>
      </c>
      <c r="E59" s="717">
        <f t="shared" si="6"/>
        <v>2000</v>
      </c>
      <c r="F59" s="814">
        <f t="shared" si="6"/>
        <v>2001</v>
      </c>
      <c r="G59" s="716">
        <f t="shared" si="6"/>
        <v>2002</v>
      </c>
      <c r="H59" s="717">
        <f t="shared" si="6"/>
        <v>2003</v>
      </c>
      <c r="I59" s="717">
        <f t="shared" si="6"/>
        <v>2004</v>
      </c>
      <c r="J59" s="814">
        <f t="shared" si="6"/>
        <v>2005</v>
      </c>
    </row>
    <row r="60" spans="1:10" ht="12.75">
      <c r="A60" s="58" t="s">
        <v>22</v>
      </c>
      <c r="B60" s="178">
        <f aca="true" t="shared" si="7" ref="B60:J60">B40*B7/365</f>
        <v>108746</v>
      </c>
      <c r="C60" s="179">
        <f t="shared" si="7"/>
        <v>137641.99999999997</v>
      </c>
      <c r="D60" s="179">
        <f t="shared" si="7"/>
        <v>138477.99999999997</v>
      </c>
      <c r="E60" s="179">
        <f t="shared" si="7"/>
        <v>141367.99999999997</v>
      </c>
      <c r="F60" s="180">
        <f t="shared" si="7"/>
        <v>133568.00000000003</v>
      </c>
      <c r="G60" s="181">
        <f t="shared" si="7"/>
        <v>155064.6727232877</v>
      </c>
      <c r="H60" s="179">
        <f t="shared" si="7"/>
        <v>162352.71234128217</v>
      </c>
      <c r="I60" s="179">
        <f t="shared" si="7"/>
        <v>169009.17354727472</v>
      </c>
      <c r="J60" s="182">
        <f t="shared" si="7"/>
        <v>177628.64139818575</v>
      </c>
    </row>
    <row r="61" spans="1:10" ht="12.75">
      <c r="A61" s="72" t="s">
        <v>272</v>
      </c>
      <c r="B61" s="97">
        <f aca="true" t="shared" si="8" ref="B61:J61">B44*B7/365</f>
        <v>44240</v>
      </c>
      <c r="C61" s="95">
        <f t="shared" si="8"/>
        <v>44624</v>
      </c>
      <c r="D61" s="95">
        <f t="shared" si="8"/>
        <v>46660</v>
      </c>
      <c r="E61" s="95">
        <f t="shared" si="8"/>
        <v>47032</v>
      </c>
      <c r="F61" s="176">
        <f t="shared" si="8"/>
        <v>59126</v>
      </c>
      <c r="G61" s="101">
        <f t="shared" si="8"/>
        <v>65290.3885150685</v>
      </c>
      <c r="H61" s="95">
        <f t="shared" si="8"/>
        <v>68359.0367752767</v>
      </c>
      <c r="I61" s="95">
        <f t="shared" si="8"/>
        <v>71161.75728306305</v>
      </c>
      <c r="J61" s="102">
        <f t="shared" si="8"/>
        <v>74791.00690449926</v>
      </c>
    </row>
    <row r="62" spans="1:10" ht="12.75">
      <c r="A62" s="72" t="s">
        <v>273</v>
      </c>
      <c r="B62" s="97">
        <f>B55</f>
        <v>12867.699999999953</v>
      </c>
      <c r="C62" s="95">
        <f>C55</f>
        <v>24434.461999999956</v>
      </c>
      <c r="D62" s="95">
        <f>D55</f>
        <v>18440.885099999956</v>
      </c>
      <c r="E62" s="95">
        <f>E55</f>
        <v>21136.811652999953</v>
      </c>
      <c r="F62" s="176">
        <f>F55</f>
        <v>21977.24788605995</v>
      </c>
      <c r="G62" s="101">
        <f>G56*G63</f>
        <v>27585.189147616442</v>
      </c>
      <c r="H62" s="95">
        <f>H56*H63</f>
        <v>33325.03042794739</v>
      </c>
      <c r="I62" s="95">
        <f>I56*I63</f>
        <v>35314.022051720036</v>
      </c>
      <c r="J62" s="102">
        <f>J56*J63</f>
        <v>37115.03717635774</v>
      </c>
    </row>
    <row r="63" spans="1:10" ht="12.75">
      <c r="A63" s="72" t="s">
        <v>53</v>
      </c>
      <c r="B63" s="97">
        <f aca="true" t="shared" si="9" ref="B63:J63">B46*B7/365</f>
        <v>118534</v>
      </c>
      <c r="C63" s="95">
        <f t="shared" si="9"/>
        <v>167874.00000000003</v>
      </c>
      <c r="D63" s="95">
        <f t="shared" si="9"/>
        <v>179620</v>
      </c>
      <c r="E63" s="95">
        <f t="shared" si="9"/>
        <v>193110</v>
      </c>
      <c r="F63" s="176">
        <f t="shared" si="9"/>
        <v>196254</v>
      </c>
      <c r="G63" s="101">
        <f t="shared" si="9"/>
        <v>212193.7626739726</v>
      </c>
      <c r="H63" s="95">
        <f t="shared" si="9"/>
        <v>222166.8695196493</v>
      </c>
      <c r="I63" s="95">
        <f t="shared" si="9"/>
        <v>235426.81367813356</v>
      </c>
      <c r="J63" s="102">
        <f t="shared" si="9"/>
        <v>247433.5811757183</v>
      </c>
    </row>
    <row r="64" spans="1:10" s="86" customFormat="1" ht="13.5" thickBot="1">
      <c r="A64" s="64" t="s">
        <v>271</v>
      </c>
      <c r="B64" s="175">
        <f>SUM(B60:B62)-B63</f>
        <v>47319.69999999995</v>
      </c>
      <c r="C64" s="174">
        <f aca="true" t="shared" si="10" ref="C64:J64">SUM(C60:C62)-C63</f>
        <v>38826.46199999991</v>
      </c>
      <c r="D64" s="174">
        <f t="shared" si="10"/>
        <v>23958.885099999927</v>
      </c>
      <c r="E64" s="174">
        <f t="shared" si="10"/>
        <v>16426.811652999924</v>
      </c>
      <c r="F64" s="177">
        <f t="shared" si="10"/>
        <v>18417.24788605998</v>
      </c>
      <c r="G64" s="918">
        <f t="shared" si="10"/>
        <v>35746.48771200003</v>
      </c>
      <c r="H64" s="919">
        <f t="shared" si="10"/>
        <v>41869.910024856974</v>
      </c>
      <c r="I64" s="919">
        <f t="shared" si="10"/>
        <v>40058.13920392425</v>
      </c>
      <c r="J64" s="920">
        <f t="shared" si="10"/>
        <v>42101.10430332445</v>
      </c>
    </row>
    <row r="65" spans="1:10" ht="13.5" thickBot="1">
      <c r="A65" s="921" t="s">
        <v>304</v>
      </c>
      <c r="B65" s="1295">
        <f>(F64-B64)/C71</f>
        <v>-0.06345827503411959</v>
      </c>
      <c r="C65" s="1296"/>
      <c r="D65" s="1296"/>
      <c r="E65" s="1296"/>
      <c r="F65" s="1297"/>
      <c r="G65" s="1295">
        <f>(J64-F64)/C96</f>
        <v>0.06233657999541721</v>
      </c>
      <c r="H65" s="1296"/>
      <c r="I65" s="1296"/>
      <c r="J65" s="1297"/>
    </row>
    <row r="66" spans="6:10" ht="24" customHeight="1">
      <c r="F66" s="185"/>
      <c r="G66" s="185"/>
      <c r="H66" s="185"/>
      <c r="I66" s="185"/>
      <c r="J66" s="185"/>
    </row>
    <row r="67" ht="15.75">
      <c r="A67" s="879" t="s">
        <v>290</v>
      </c>
    </row>
    <row r="69" ht="12.75">
      <c r="A69" s="880" t="s">
        <v>667</v>
      </c>
    </row>
    <row r="70" ht="9" customHeight="1">
      <c r="A70" s="880"/>
    </row>
    <row r="71" spans="1:3" s="83" customFormat="1" ht="12.75">
      <c r="A71" s="937" t="s">
        <v>282</v>
      </c>
      <c r="B71" s="937"/>
      <c r="C71" s="938">
        <f>F7-B7</f>
        <v>455456</v>
      </c>
    </row>
    <row r="72" spans="1:3" s="83" customFormat="1" ht="13.5" thickBot="1">
      <c r="A72" s="937"/>
      <c r="B72" s="937"/>
      <c r="C72" s="938"/>
    </row>
    <row r="73" spans="1:6" ht="13.5" thickBot="1">
      <c r="A73" s="857"/>
      <c r="B73" s="716">
        <f>B4</f>
        <v>1997</v>
      </c>
      <c r="C73" s="717">
        <f>C4</f>
        <v>1998</v>
      </c>
      <c r="D73" s="717">
        <f>D4</f>
        <v>1999</v>
      </c>
      <c r="E73" s="717">
        <f>E4</f>
        <v>2000</v>
      </c>
      <c r="F73" s="814">
        <f>F4</f>
        <v>2001</v>
      </c>
    </row>
    <row r="74" spans="1:6" ht="12.75">
      <c r="A74" s="104" t="s">
        <v>276</v>
      </c>
      <c r="B74" s="90"/>
      <c r="C74" s="90"/>
      <c r="D74" s="90"/>
      <c r="E74" s="90"/>
      <c r="F74" s="91"/>
    </row>
    <row r="75" spans="1:6" ht="12.75">
      <c r="A75" s="99" t="s">
        <v>278</v>
      </c>
      <c r="B75" s="101">
        <f>'8 Rozvaha'!C7</f>
        <v>648</v>
      </c>
      <c r="C75" s="95">
        <f>'8 Rozvaha'!D7</f>
        <v>992</v>
      </c>
      <c r="D75" s="95">
        <f>'8 Rozvaha'!E7</f>
        <v>1402</v>
      </c>
      <c r="E75" s="95">
        <f>'8 Rozvaha'!F7</f>
        <v>1474</v>
      </c>
      <c r="F75" s="102">
        <f>'8 Rozvaha'!G7</f>
        <v>1164</v>
      </c>
    </row>
    <row r="76" spans="1:6" ht="12.75">
      <c r="A76" s="100" t="s">
        <v>254</v>
      </c>
      <c r="B76" s="103"/>
      <c r="C76" s="95">
        <f>B75/C75*D76</f>
        <v>506.8819538670284</v>
      </c>
      <c r="D76" s="95">
        <f>C75/D75*E76</f>
        <v>775.967435549525</v>
      </c>
      <c r="E76" s="95">
        <f>D75/E75*F76</f>
        <v>1096.6797829036634</v>
      </c>
      <c r="F76" s="102">
        <v>1153</v>
      </c>
    </row>
    <row r="77" spans="1:6" ht="12.75">
      <c r="A77" s="100" t="s">
        <v>264</v>
      </c>
      <c r="B77" s="103"/>
      <c r="C77" s="95">
        <f>'8 Rozvaha'!D7-'8 Rozvaha'!C7</f>
        <v>344</v>
      </c>
      <c r="D77" s="95">
        <f>'8 Rozvaha'!E7-'8 Rozvaha'!D7</f>
        <v>410</v>
      </c>
      <c r="E77" s="95">
        <f>'8 Rozvaha'!F7-'8 Rozvaha'!E7</f>
        <v>72</v>
      </c>
      <c r="F77" s="102">
        <f>'8 Rozvaha'!G7-'8 Rozvaha'!F7</f>
        <v>-310</v>
      </c>
    </row>
    <row r="78" spans="1:6" ht="12.75">
      <c r="A78" s="100" t="s">
        <v>275</v>
      </c>
      <c r="B78" s="103"/>
      <c r="C78" s="95">
        <f>C77+C76</f>
        <v>850.8819538670284</v>
      </c>
      <c r="D78" s="95">
        <f>D77+D76</f>
        <v>1185.967435549525</v>
      </c>
      <c r="E78" s="95">
        <f>E77+E76</f>
        <v>1168.6797829036634</v>
      </c>
      <c r="F78" s="102">
        <f>F77+F76</f>
        <v>843</v>
      </c>
    </row>
    <row r="79" spans="1:7" ht="13.5" thickBot="1">
      <c r="A79" s="936" t="s">
        <v>279</v>
      </c>
      <c r="B79" s="1292">
        <f>SUM(C78:F78)/$C$71</f>
        <v>0.008888957818801852</v>
      </c>
      <c r="C79" s="1293"/>
      <c r="D79" s="1293"/>
      <c r="E79" s="1293"/>
      <c r="F79" s="1294"/>
      <c r="G79" s="85"/>
    </row>
    <row r="80" spans="1:6" ht="12.75">
      <c r="A80" s="104" t="s">
        <v>10</v>
      </c>
      <c r="B80" s="90"/>
      <c r="C80" s="90"/>
      <c r="D80" s="90"/>
      <c r="E80" s="90"/>
      <c r="F80" s="91"/>
    </row>
    <row r="81" spans="1:6" s="83" customFormat="1" ht="12.75">
      <c r="A81" s="99" t="s">
        <v>278</v>
      </c>
      <c r="B81" s="101">
        <f>'8 Rozvaha'!C10</f>
        <v>317466</v>
      </c>
      <c r="C81" s="95">
        <f>'8 Rozvaha'!D10</f>
        <v>352702</v>
      </c>
      <c r="D81" s="95">
        <f>'8 Rozvaha'!E10</f>
        <v>336494</v>
      </c>
      <c r="E81" s="95">
        <f>'8 Rozvaha'!F10</f>
        <v>329438</v>
      </c>
      <c r="F81" s="102">
        <f>'8 Rozvaha'!G10</f>
        <v>321000</v>
      </c>
    </row>
    <row r="82" spans="1:6" ht="12.75">
      <c r="A82" s="100" t="s">
        <v>254</v>
      </c>
      <c r="B82" s="103"/>
      <c r="C82" s="95">
        <v>15989</v>
      </c>
      <c r="D82" s="95">
        <v>16208</v>
      </c>
      <c r="E82" s="95">
        <v>15907</v>
      </c>
      <c r="F82" s="102">
        <v>15500</v>
      </c>
    </row>
    <row r="83" spans="1:6" ht="12.75">
      <c r="A83" s="100" t="s">
        <v>264</v>
      </c>
      <c r="B83" s="103"/>
      <c r="C83" s="95">
        <f>'8 Rozvaha'!D10-'8 Rozvaha'!C10</f>
        <v>35236</v>
      </c>
      <c r="D83" s="95">
        <f>'8 Rozvaha'!E10-'8 Rozvaha'!D10</f>
        <v>-16208</v>
      </c>
      <c r="E83" s="95">
        <f>'8 Rozvaha'!F10-'8 Rozvaha'!E10</f>
        <v>-7056</v>
      </c>
      <c r="F83" s="102">
        <f>'8 Rozvaha'!G10-'8 Rozvaha'!F10</f>
        <v>-8438</v>
      </c>
    </row>
    <row r="84" spans="1:6" ht="12.75">
      <c r="A84" s="100" t="s">
        <v>275</v>
      </c>
      <c r="B84" s="103"/>
      <c r="C84" s="95">
        <f>C83+C82</f>
        <v>51225</v>
      </c>
      <c r="D84" s="95">
        <f>D83+D82</f>
        <v>0</v>
      </c>
      <c r="E84" s="95">
        <f>E83+E82</f>
        <v>8851</v>
      </c>
      <c r="F84" s="102">
        <f>F83+F82</f>
        <v>7062</v>
      </c>
    </row>
    <row r="85" spans="1:7" ht="13.5" thickBot="1">
      <c r="A85" s="936" t="s">
        <v>279</v>
      </c>
      <c r="B85" s="1292">
        <f>SUM(C84:F84)/$C$71</f>
        <v>0.14740831167006252</v>
      </c>
      <c r="C85" s="1293"/>
      <c r="D85" s="1293"/>
      <c r="E85" s="1293"/>
      <c r="F85" s="1294"/>
      <c r="G85" s="85"/>
    </row>
    <row r="86" spans="1:6" ht="12.75">
      <c r="A86" s="104" t="s">
        <v>277</v>
      </c>
      <c r="F86" s="81"/>
    </row>
    <row r="87" spans="1:6" s="83" customFormat="1" ht="12.75">
      <c r="A87" s="99" t="s">
        <v>278</v>
      </c>
      <c r="B87" s="101">
        <f>'8 Rozvaha'!C11</f>
        <v>38206</v>
      </c>
      <c r="C87" s="95">
        <f>'8 Rozvaha'!D11</f>
        <v>60476</v>
      </c>
      <c r="D87" s="95">
        <f>'8 Rozvaha'!E11</f>
        <v>50660</v>
      </c>
      <c r="E87" s="95">
        <f>'8 Rozvaha'!F11</f>
        <v>62646</v>
      </c>
      <c r="F87" s="102">
        <f>'8 Rozvaha'!G11</f>
        <v>44500</v>
      </c>
    </row>
    <row r="88" spans="1:6" ht="12.75">
      <c r="A88" s="100" t="s">
        <v>254</v>
      </c>
      <c r="B88" s="103"/>
      <c r="C88" s="95">
        <f>'9 Výsledovka'!E13-C76-C82</f>
        <v>6600.118046132971</v>
      </c>
      <c r="D88" s="95">
        <f>'9 Výsledovka'!F13-D76-D82</f>
        <v>19656.032564450477</v>
      </c>
      <c r="E88" s="95">
        <f>'9 Výsledovka'!G13-E76-E82</f>
        <v>19306.320217096334</v>
      </c>
      <c r="F88" s="102">
        <f>'9 Výsledovka'!H13-F76-F82</f>
        <v>18719</v>
      </c>
    </row>
    <row r="89" spans="1:6" ht="12.75">
      <c r="A89" s="100" t="s">
        <v>301</v>
      </c>
      <c r="B89" s="103"/>
      <c r="C89" s="95"/>
      <c r="D89" s="95"/>
      <c r="E89" s="95">
        <f>'9 Výsledovka'!G15</f>
        <v>6656</v>
      </c>
      <c r="F89" s="102"/>
    </row>
    <row r="90" spans="1:6" ht="12.75">
      <c r="A90" s="100" t="s">
        <v>264</v>
      </c>
      <c r="B90" s="103"/>
      <c r="C90" s="95">
        <f>'8 Rozvaha'!D11-'8 Rozvaha'!C11</f>
        <v>22270</v>
      </c>
      <c r="D90" s="95">
        <f>'8 Rozvaha'!E11-'8 Rozvaha'!D11</f>
        <v>-9816</v>
      </c>
      <c r="E90" s="95">
        <f>'8 Rozvaha'!F11-'8 Rozvaha'!E11</f>
        <v>11986</v>
      </c>
      <c r="F90" s="102">
        <f>'8 Rozvaha'!G11-'8 Rozvaha'!F11</f>
        <v>-18146</v>
      </c>
    </row>
    <row r="91" spans="1:6" ht="12.75">
      <c r="A91" s="100" t="s">
        <v>275</v>
      </c>
      <c r="B91" s="103"/>
      <c r="C91" s="95">
        <f>C90+C88</f>
        <v>28870.11804613297</v>
      </c>
      <c r="D91" s="95">
        <f>D90+D88</f>
        <v>9840.032564450477</v>
      </c>
      <c r="E91" s="95">
        <f>E90+E88+E89</f>
        <v>37948.320217096334</v>
      </c>
      <c r="F91" s="102">
        <f>F90+F88</f>
        <v>573</v>
      </c>
    </row>
    <row r="92" spans="1:7" ht="13.5" thickBot="1">
      <c r="A92" s="936" t="s">
        <v>279</v>
      </c>
      <c r="B92" s="1292">
        <f>SUM(C91:F91)/$C$71</f>
        <v>0.16956955409014215</v>
      </c>
      <c r="C92" s="1293"/>
      <c r="D92" s="1293"/>
      <c r="E92" s="1293"/>
      <c r="F92" s="1294"/>
      <c r="G92" s="85"/>
    </row>
    <row r="93" spans="3:7" ht="12.75">
      <c r="C93" s="85"/>
      <c r="D93" s="85"/>
      <c r="E93" s="85"/>
      <c r="F93" s="85"/>
      <c r="G93" s="85"/>
    </row>
    <row r="94" spans="1:6" ht="12.75">
      <c r="A94" s="880" t="s">
        <v>668</v>
      </c>
      <c r="C94" s="85"/>
      <c r="D94" s="85"/>
      <c r="E94" s="85"/>
      <c r="F94" s="85"/>
    </row>
    <row r="95" spans="1:6" ht="8.25" customHeight="1">
      <c r="A95" s="880"/>
      <c r="C95" s="85"/>
      <c r="D95" s="85"/>
      <c r="E95" s="85"/>
      <c r="F95" s="85"/>
    </row>
    <row r="96" spans="1:3" s="83" customFormat="1" ht="12.75">
      <c r="A96" s="937" t="s">
        <v>281</v>
      </c>
      <c r="C96" s="938">
        <f>J7-F7</f>
        <v>379935.12667851895</v>
      </c>
    </row>
    <row r="97" spans="1:3" s="83" customFormat="1" ht="12.75">
      <c r="A97" s="105"/>
      <c r="C97" s="106"/>
    </row>
    <row r="98" spans="1:3" s="83" customFormat="1" ht="12.75">
      <c r="A98" s="73" t="s">
        <v>283</v>
      </c>
      <c r="C98" s="106"/>
    </row>
    <row r="99" spans="1:6" ht="26.25" customHeight="1">
      <c r="A99" s="946" t="s">
        <v>280</v>
      </c>
      <c r="B99" s="1272" t="s">
        <v>286</v>
      </c>
      <c r="C99" s="1272"/>
      <c r="D99" s="1272" t="s">
        <v>284</v>
      </c>
      <c r="E99" s="1272"/>
      <c r="F99" s="1272"/>
    </row>
    <row r="100" spans="1:6" ht="12.75">
      <c r="A100" s="107" t="s">
        <v>276</v>
      </c>
      <c r="B100" s="1273">
        <f>ROUND(B79,3)</f>
        <v>0.009</v>
      </c>
      <c r="C100" s="1268"/>
      <c r="D100" s="110"/>
      <c r="E100" s="111">
        <f>B100*$C$96</f>
        <v>3419.4161401066704</v>
      </c>
      <c r="F100" s="97"/>
    </row>
    <row r="101" spans="1:6" ht="12.75">
      <c r="A101" s="107" t="s">
        <v>10</v>
      </c>
      <c r="B101" s="1273">
        <f>ROUND(B85,3)</f>
        <v>0.147</v>
      </c>
      <c r="C101" s="1268"/>
      <c r="D101" s="110"/>
      <c r="E101" s="111">
        <f>B101*$C$96</f>
        <v>55850.46362174228</v>
      </c>
      <c r="F101" s="97"/>
    </row>
    <row r="102" spans="1:6" ht="12.75">
      <c r="A102" s="107" t="s">
        <v>277</v>
      </c>
      <c r="B102" s="1273">
        <f>ROUND(B92,3)</f>
        <v>0.17</v>
      </c>
      <c r="C102" s="1268"/>
      <c r="D102" s="110"/>
      <c r="E102" s="111">
        <f>B102*$C$96</f>
        <v>64588.971535348224</v>
      </c>
      <c r="F102" s="97"/>
    </row>
    <row r="103" spans="1:6" ht="12.75">
      <c r="A103" s="108" t="s">
        <v>162</v>
      </c>
      <c r="B103" s="1274">
        <f>SUM(B100:C102)</f>
        <v>0.326</v>
      </c>
      <c r="C103" s="1270"/>
      <c r="D103" s="112"/>
      <c r="E103" s="113">
        <f>B103*$C$96</f>
        <v>123858.85129719718</v>
      </c>
      <c r="F103" s="97"/>
    </row>
    <row r="105" spans="1:3" s="83" customFormat="1" ht="12.75">
      <c r="A105" s="73" t="s">
        <v>285</v>
      </c>
      <c r="C105" s="106"/>
    </row>
    <row r="106" spans="1:6" ht="26.25" customHeight="1">
      <c r="A106" s="946" t="s">
        <v>280</v>
      </c>
      <c r="B106" s="1272" t="s">
        <v>287</v>
      </c>
      <c r="C106" s="1272"/>
      <c r="D106" s="1272" t="s">
        <v>284</v>
      </c>
      <c r="E106" s="1272"/>
      <c r="F106" s="1272"/>
    </row>
    <row r="107" spans="1:6" ht="12.75">
      <c r="A107" s="107" t="s">
        <v>276</v>
      </c>
      <c r="B107" s="1273">
        <v>0.02</v>
      </c>
      <c r="C107" s="1268"/>
      <c r="D107" s="110"/>
      <c r="E107" s="111">
        <f>B107*$C$96</f>
        <v>7598.702533570379</v>
      </c>
      <c r="F107" s="97"/>
    </row>
    <row r="108" spans="1:6" ht="12.75">
      <c r="A108" s="107" t="s">
        <v>10</v>
      </c>
      <c r="B108" s="1273">
        <v>0.24</v>
      </c>
      <c r="C108" s="1268"/>
      <c r="D108" s="110"/>
      <c r="E108" s="111">
        <f>B108*$C$96</f>
        <v>91184.43040284455</v>
      </c>
      <c r="F108" s="97"/>
    </row>
    <row r="109" spans="1:6" ht="12.75">
      <c r="A109" s="107" t="s">
        <v>277</v>
      </c>
      <c r="B109" s="1273">
        <v>0.22</v>
      </c>
      <c r="C109" s="1268"/>
      <c r="D109" s="110"/>
      <c r="E109" s="111">
        <f>B109*$C$96</f>
        <v>83585.72786927417</v>
      </c>
      <c r="F109" s="97"/>
    </row>
    <row r="110" spans="1:6" ht="12.75">
      <c r="A110" s="108" t="s">
        <v>162</v>
      </c>
      <c r="B110" s="1274">
        <f>SUM(B107:C109)</f>
        <v>0.48</v>
      </c>
      <c r="C110" s="1270"/>
      <c r="D110" s="112"/>
      <c r="E110" s="113">
        <f>B110*$C$96</f>
        <v>182368.8608056891</v>
      </c>
      <c r="F110" s="97"/>
    </row>
    <row r="112" spans="1:2" ht="12.75">
      <c r="A112" s="73" t="s">
        <v>288</v>
      </c>
      <c r="B112" s="84"/>
    </row>
    <row r="113" spans="1:6" ht="27" customHeight="1">
      <c r="A113" s="947" t="s">
        <v>280</v>
      </c>
      <c r="B113" s="1271"/>
      <c r="C113" s="1272"/>
      <c r="D113" s="1272" t="s">
        <v>284</v>
      </c>
      <c r="E113" s="1272"/>
      <c r="F113" s="1272"/>
    </row>
    <row r="114" spans="1:6" ht="12.75">
      <c r="A114" s="114" t="s">
        <v>276</v>
      </c>
      <c r="B114" s="1267"/>
      <c r="C114" s="1268"/>
      <c r="D114" s="110"/>
      <c r="E114" s="111">
        <v>5000</v>
      </c>
      <c r="F114" s="97"/>
    </row>
    <row r="115" spans="1:6" ht="12.75">
      <c r="A115" s="114" t="s">
        <v>10</v>
      </c>
      <c r="B115" s="1267"/>
      <c r="C115" s="1268"/>
      <c r="D115" s="110"/>
      <c r="E115" s="111">
        <v>70000</v>
      </c>
      <c r="F115" s="97"/>
    </row>
    <row r="116" spans="1:6" ht="12.75">
      <c r="A116" s="114" t="s">
        <v>277</v>
      </c>
      <c r="B116" s="1267"/>
      <c r="C116" s="1268"/>
      <c r="D116" s="110"/>
      <c r="E116" s="111">
        <v>62000</v>
      </c>
      <c r="F116" s="97"/>
    </row>
    <row r="117" spans="1:6" ht="12.75">
      <c r="A117" s="115" t="s">
        <v>162</v>
      </c>
      <c r="B117" s="1269"/>
      <c r="C117" s="1270"/>
      <c r="D117" s="112"/>
      <c r="E117" s="113">
        <f>SUM(E114:E116)</f>
        <v>137000</v>
      </c>
      <c r="F117" s="97"/>
    </row>
    <row r="119" ht="12.75">
      <c r="A119" s="73" t="s">
        <v>289</v>
      </c>
    </row>
    <row r="120" spans="1:7" ht="26.25" customHeight="1">
      <c r="A120" s="947" t="s">
        <v>280</v>
      </c>
      <c r="B120" s="1271"/>
      <c r="C120" s="1272"/>
      <c r="D120" s="1272" t="s">
        <v>284</v>
      </c>
      <c r="E120" s="1272"/>
      <c r="F120" s="1272"/>
      <c r="G120" s="948" t="s">
        <v>669</v>
      </c>
    </row>
    <row r="121" spans="1:7" ht="12.75">
      <c r="A121" s="114" t="s">
        <v>276</v>
      </c>
      <c r="B121" s="1267"/>
      <c r="C121" s="1268"/>
      <c r="D121" s="110"/>
      <c r="E121" s="111">
        <f>(E114+E107)/2</f>
        <v>6299.35126678519</v>
      </c>
      <c r="F121" s="97"/>
      <c r="G121" s="95">
        <f>ROUND(E121/4,0)</f>
        <v>1575</v>
      </c>
    </row>
    <row r="122" spans="1:7" ht="12.75">
      <c r="A122" s="114" t="s">
        <v>10</v>
      </c>
      <c r="B122" s="1267"/>
      <c r="C122" s="1268"/>
      <c r="D122" s="110"/>
      <c r="E122" s="111">
        <f>(E115+E108)/2</f>
        <v>80592.21520142228</v>
      </c>
      <c r="F122" s="97"/>
      <c r="G122" s="95">
        <f>ROUND(E122/4,0)</f>
        <v>20148</v>
      </c>
    </row>
    <row r="123" spans="1:7" ht="12.75">
      <c r="A123" s="114" t="s">
        <v>277</v>
      </c>
      <c r="B123" s="1267"/>
      <c r="C123" s="1268"/>
      <c r="D123" s="110"/>
      <c r="E123" s="111">
        <f>(E116+E109)/2</f>
        <v>72792.86393463708</v>
      </c>
      <c r="F123" s="97"/>
      <c r="G123" s="95">
        <f>ROUND(E123/4,0)</f>
        <v>18198</v>
      </c>
    </row>
    <row r="124" spans="1:7" ht="12.75">
      <c r="A124" s="115" t="s">
        <v>162</v>
      </c>
      <c r="B124" s="1269"/>
      <c r="C124" s="1270"/>
      <c r="D124" s="112"/>
      <c r="E124" s="113">
        <f>SUM(E121:E123)</f>
        <v>159684.43040284456</v>
      </c>
      <c r="F124" s="97"/>
      <c r="G124" s="109">
        <f>SUM(G121:G123)</f>
        <v>39921</v>
      </c>
    </row>
    <row r="125" spans="1:7" ht="12.75">
      <c r="A125" s="939" t="s">
        <v>305</v>
      </c>
      <c r="B125" s="940"/>
      <c r="C125" s="941"/>
      <c r="D125" s="942"/>
      <c r="E125" s="943"/>
      <c r="F125" s="944"/>
      <c r="G125" s="945">
        <f>E124/C96</f>
        <v>0.42029393754360883</v>
      </c>
    </row>
    <row r="126" spans="1:7" ht="12.75">
      <c r="A126" s="73"/>
      <c r="B126" s="186"/>
      <c r="C126" s="187"/>
      <c r="D126" s="86"/>
      <c r="E126" s="188"/>
      <c r="F126" s="85"/>
      <c r="G126" s="188"/>
    </row>
    <row r="128" ht="13.5" thickBot="1">
      <c r="A128" s="880" t="s">
        <v>670</v>
      </c>
    </row>
    <row r="129" spans="1:6" ht="13.5" thickBot="1">
      <c r="A129" s="857"/>
      <c r="B129" s="950">
        <f>F4</f>
        <v>2001</v>
      </c>
      <c r="C129" s="951">
        <f>B129+1</f>
        <v>2002</v>
      </c>
      <c r="D129" s="952">
        <f>C129+1</f>
        <v>2003</v>
      </c>
      <c r="E129" s="952">
        <f>D129+1</f>
        <v>2004</v>
      </c>
      <c r="F129" s="953">
        <f>E129+1</f>
        <v>2005</v>
      </c>
    </row>
    <row r="130" ht="13.5" thickBot="1">
      <c r="A130" s="73" t="s">
        <v>276</v>
      </c>
    </row>
    <row r="131" spans="1:6" ht="12.75">
      <c r="A131" s="964" t="s">
        <v>295</v>
      </c>
      <c r="B131" s="965">
        <f>F76</f>
        <v>1153</v>
      </c>
      <c r="C131" s="966">
        <f>B131</f>
        <v>1153</v>
      </c>
      <c r="D131" s="610">
        <f>C132</f>
        <v>11</v>
      </c>
      <c r="E131" s="847"/>
      <c r="F131" s="848"/>
    </row>
    <row r="132" spans="1:6" s="83" customFormat="1" ht="12.75">
      <c r="A132" s="958" t="s">
        <v>292</v>
      </c>
      <c r="B132" s="959">
        <f>F75</f>
        <v>1164</v>
      </c>
      <c r="C132" s="960">
        <f>B132-C131</f>
        <v>11</v>
      </c>
      <c r="D132" s="961">
        <f>C132-D131</f>
        <v>0</v>
      </c>
      <c r="E132" s="962"/>
      <c r="F132" s="963"/>
    </row>
    <row r="133" spans="1:6" ht="12.75">
      <c r="A133" s="968" t="s">
        <v>293</v>
      </c>
      <c r="B133" s="968"/>
      <c r="C133" s="969">
        <f>B133+$G$121</f>
        <v>1575</v>
      </c>
      <c r="D133" s="970">
        <f>C133+$G$121</f>
        <v>3150</v>
      </c>
      <c r="E133" s="970">
        <f>D133+$G$121</f>
        <v>4725</v>
      </c>
      <c r="F133" s="971">
        <f>E133+$G$121</f>
        <v>6300</v>
      </c>
    </row>
    <row r="134" spans="1:6" ht="12.75">
      <c r="A134" s="972" t="s">
        <v>296</v>
      </c>
      <c r="B134" s="972"/>
      <c r="C134" s="599">
        <f>C133/4</f>
        <v>393.75</v>
      </c>
      <c r="D134" s="611">
        <f>D133/4</f>
        <v>787.5</v>
      </c>
      <c r="E134" s="611">
        <f>E133/4</f>
        <v>1181.25</v>
      </c>
      <c r="F134" s="973">
        <f>F133/4</f>
        <v>1575</v>
      </c>
    </row>
    <row r="135" spans="1:6" ht="12.75">
      <c r="A135" s="967" t="s">
        <v>292</v>
      </c>
      <c r="B135" s="967"/>
      <c r="C135" s="178">
        <f>C133-SUM($C134:C134)</f>
        <v>1181.25</v>
      </c>
      <c r="D135" s="179">
        <f>D133-SUM($C134:D134)</f>
        <v>1968.75</v>
      </c>
      <c r="E135" s="179">
        <f>E133-SUM($C134:E134)</f>
        <v>2362.5</v>
      </c>
      <c r="F135" s="182">
        <f>F133-SUM($C134:F134)</f>
        <v>2362.5</v>
      </c>
    </row>
    <row r="136" spans="1:6" ht="12.75">
      <c r="A136" s="968" t="s">
        <v>294</v>
      </c>
      <c r="B136" s="979">
        <f aca="true" t="shared" si="11" ref="B136:F137">B131+B134</f>
        <v>1153</v>
      </c>
      <c r="C136" s="980">
        <f t="shared" si="11"/>
        <v>1546.75</v>
      </c>
      <c r="D136" s="981">
        <f t="shared" si="11"/>
        <v>798.5</v>
      </c>
      <c r="E136" s="981">
        <f t="shared" si="11"/>
        <v>1181.25</v>
      </c>
      <c r="F136" s="982">
        <f t="shared" si="11"/>
        <v>1575</v>
      </c>
    </row>
    <row r="137" spans="1:6" ht="13.5" thickBot="1">
      <c r="A137" s="974" t="s">
        <v>292</v>
      </c>
      <c r="B137" s="975">
        <f t="shared" si="11"/>
        <v>1164</v>
      </c>
      <c r="C137" s="976">
        <f t="shared" si="11"/>
        <v>1192.25</v>
      </c>
      <c r="D137" s="977">
        <f t="shared" si="11"/>
        <v>1968.75</v>
      </c>
      <c r="E137" s="977">
        <f t="shared" si="11"/>
        <v>2362.5</v>
      </c>
      <c r="F137" s="978">
        <f t="shared" si="11"/>
        <v>2362.5</v>
      </c>
    </row>
    <row r="138" spans="1:2" ht="13.5" thickBot="1">
      <c r="A138" s="73" t="s">
        <v>10</v>
      </c>
      <c r="B138" s="73"/>
    </row>
    <row r="139" spans="1:6" ht="12.75">
      <c r="A139" s="964" t="s">
        <v>295</v>
      </c>
      <c r="B139" s="965">
        <f>F82</f>
        <v>15500</v>
      </c>
      <c r="C139" s="985">
        <f>B139</f>
        <v>15500</v>
      </c>
      <c r="D139" s="986">
        <f>C139</f>
        <v>15500</v>
      </c>
      <c r="E139" s="986">
        <f>D139</f>
        <v>15500</v>
      </c>
      <c r="F139" s="987">
        <f>E139</f>
        <v>15500</v>
      </c>
    </row>
    <row r="140" spans="1:6" ht="12.75">
      <c r="A140" s="958" t="s">
        <v>292</v>
      </c>
      <c r="B140" s="959">
        <f>F81</f>
        <v>321000</v>
      </c>
      <c r="C140" s="983">
        <f>B140-C139</f>
        <v>305500</v>
      </c>
      <c r="D140" s="961">
        <f>C140-D139</f>
        <v>290000</v>
      </c>
      <c r="E140" s="961">
        <f>D140-E139</f>
        <v>274500</v>
      </c>
      <c r="F140" s="984">
        <f>E140-F139</f>
        <v>259000</v>
      </c>
    </row>
    <row r="141" spans="1:6" ht="12.75">
      <c r="A141" s="968" t="s">
        <v>293</v>
      </c>
      <c r="B141" s="968"/>
      <c r="C141" s="988">
        <f>B141+$G$122</f>
        <v>20148</v>
      </c>
      <c r="D141" s="970">
        <f>C141+$G$122</f>
        <v>40296</v>
      </c>
      <c r="E141" s="970">
        <f>D141+$G$122</f>
        <v>60444</v>
      </c>
      <c r="F141" s="971">
        <f>E141+$G$122</f>
        <v>80592</v>
      </c>
    </row>
    <row r="142" spans="1:6" ht="12.75">
      <c r="A142" s="972" t="s">
        <v>297</v>
      </c>
      <c r="B142" s="972"/>
      <c r="C142" s="670">
        <f>C141/30</f>
        <v>671.6</v>
      </c>
      <c r="D142" s="611">
        <f>D141/30</f>
        <v>1343.2</v>
      </c>
      <c r="E142" s="611">
        <f>E141/30</f>
        <v>2014.8</v>
      </c>
      <c r="F142" s="973">
        <f>F141/30</f>
        <v>2686.4</v>
      </c>
    </row>
    <row r="143" spans="1:6" ht="12.75">
      <c r="A143" s="967" t="s">
        <v>292</v>
      </c>
      <c r="B143" s="967"/>
      <c r="C143" s="181">
        <f>C141-SUM($C142:C142)</f>
        <v>19476.4</v>
      </c>
      <c r="D143" s="179">
        <f>D141-SUM($C142:D142)</f>
        <v>38281.2</v>
      </c>
      <c r="E143" s="179">
        <f>E141-SUM($C142:E142)</f>
        <v>56414.4</v>
      </c>
      <c r="F143" s="182">
        <f>F141-SUM($C142:F142)</f>
        <v>73876</v>
      </c>
    </row>
    <row r="144" spans="1:6" ht="12.75">
      <c r="A144" s="968" t="s">
        <v>294</v>
      </c>
      <c r="B144" s="979">
        <f aca="true" t="shared" si="12" ref="B144:F145">B139+B142</f>
        <v>15500</v>
      </c>
      <c r="C144" s="990">
        <f t="shared" si="12"/>
        <v>16171.6</v>
      </c>
      <c r="D144" s="981">
        <f t="shared" si="12"/>
        <v>16843.2</v>
      </c>
      <c r="E144" s="981">
        <f t="shared" si="12"/>
        <v>17514.8</v>
      </c>
      <c r="F144" s="982">
        <f t="shared" si="12"/>
        <v>18186.4</v>
      </c>
    </row>
    <row r="145" spans="1:6" ht="13.5" thickBot="1">
      <c r="A145" s="974" t="s">
        <v>292</v>
      </c>
      <c r="B145" s="975">
        <f t="shared" si="12"/>
        <v>321000</v>
      </c>
      <c r="C145" s="989">
        <f t="shared" si="12"/>
        <v>324976.4</v>
      </c>
      <c r="D145" s="977">
        <f t="shared" si="12"/>
        <v>328281.2</v>
      </c>
      <c r="E145" s="977">
        <f t="shared" si="12"/>
        <v>330914.4</v>
      </c>
      <c r="F145" s="978">
        <f t="shared" si="12"/>
        <v>332876</v>
      </c>
    </row>
    <row r="146" spans="1:2" ht="13.5" thickBot="1">
      <c r="A146" s="73" t="s">
        <v>277</v>
      </c>
      <c r="B146" s="73"/>
    </row>
    <row r="147" spans="1:6" ht="12.75">
      <c r="A147" s="964" t="s">
        <v>295</v>
      </c>
      <c r="B147" s="965">
        <f>F88</f>
        <v>18719</v>
      </c>
      <c r="C147" s="985">
        <f>B147</f>
        <v>18719</v>
      </c>
      <c r="D147" s="986">
        <f>C147</f>
        <v>18719</v>
      </c>
      <c r="E147" s="610">
        <f>D148</f>
        <v>7062</v>
      </c>
      <c r="F147" s="848"/>
    </row>
    <row r="148" spans="1:6" ht="12.75">
      <c r="A148" s="958" t="s">
        <v>292</v>
      </c>
      <c r="B148" s="959">
        <f>F87</f>
        <v>44500</v>
      </c>
      <c r="C148" s="983">
        <f>B148-C147</f>
        <v>25781</v>
      </c>
      <c r="D148" s="961">
        <f>C148-D147</f>
        <v>7062</v>
      </c>
      <c r="E148" s="961">
        <f>D148-E147</f>
        <v>0</v>
      </c>
      <c r="F148" s="166"/>
    </row>
    <row r="149" spans="1:6" ht="12.75">
      <c r="A149" s="968" t="s">
        <v>293</v>
      </c>
      <c r="B149" s="968"/>
      <c r="C149" s="988">
        <f>B149+$G$123</f>
        <v>18198</v>
      </c>
      <c r="D149" s="970">
        <f>C149+$G$123</f>
        <v>36396</v>
      </c>
      <c r="E149" s="970">
        <f>D149+$G$123</f>
        <v>54594</v>
      </c>
      <c r="F149" s="971">
        <f>E149+$G$123</f>
        <v>72792</v>
      </c>
    </row>
    <row r="150" spans="1:6" ht="12.75">
      <c r="A150" s="972" t="s">
        <v>298</v>
      </c>
      <c r="B150" s="972"/>
      <c r="C150" s="670">
        <f>C149/6</f>
        <v>3033</v>
      </c>
      <c r="D150" s="611">
        <f>D149/6</f>
        <v>6066</v>
      </c>
      <c r="E150" s="611">
        <f>E149/6</f>
        <v>9099</v>
      </c>
      <c r="F150" s="973">
        <f>F149/6</f>
        <v>12132</v>
      </c>
    </row>
    <row r="151" spans="1:6" ht="12.75">
      <c r="A151" s="967" t="s">
        <v>292</v>
      </c>
      <c r="B151" s="967"/>
      <c r="C151" s="181">
        <f>C149-SUM($C150:C150)</f>
        <v>15165</v>
      </c>
      <c r="D151" s="179">
        <f>D149-SUM($C150:D150)</f>
        <v>27297</v>
      </c>
      <c r="E151" s="179">
        <f>E149-SUM($C150:E150)</f>
        <v>36396</v>
      </c>
      <c r="F151" s="182">
        <f>F149-SUM($C150:F150)</f>
        <v>42462</v>
      </c>
    </row>
    <row r="152" spans="1:6" ht="12.75">
      <c r="A152" s="968" t="s">
        <v>294</v>
      </c>
      <c r="B152" s="979">
        <f aca="true" t="shared" si="13" ref="B152:F153">B147+B150</f>
        <v>18719</v>
      </c>
      <c r="C152" s="990">
        <f t="shared" si="13"/>
        <v>21752</v>
      </c>
      <c r="D152" s="981">
        <f t="shared" si="13"/>
        <v>24785</v>
      </c>
      <c r="E152" s="981">
        <f t="shared" si="13"/>
        <v>16161</v>
      </c>
      <c r="F152" s="982">
        <f t="shared" si="13"/>
        <v>12132</v>
      </c>
    </row>
    <row r="153" spans="1:6" ht="13.5" thickBot="1">
      <c r="A153" s="974" t="s">
        <v>292</v>
      </c>
      <c r="B153" s="975">
        <f t="shared" si="13"/>
        <v>44500</v>
      </c>
      <c r="C153" s="989">
        <f t="shared" si="13"/>
        <v>40946</v>
      </c>
      <c r="D153" s="977">
        <f t="shared" si="13"/>
        <v>34359</v>
      </c>
      <c r="E153" s="977">
        <f t="shared" si="13"/>
        <v>36396</v>
      </c>
      <c r="F153" s="978">
        <f t="shared" si="13"/>
        <v>42462</v>
      </c>
    </row>
    <row r="154" spans="1:6" ht="13.5" thickBot="1">
      <c r="A154" s="30"/>
      <c r="B154" s="575"/>
      <c r="C154" s="575"/>
      <c r="D154" s="575"/>
      <c r="E154" s="575"/>
      <c r="F154" s="575"/>
    </row>
    <row r="155" spans="1:6" ht="13.5" thickBot="1">
      <c r="A155" s="856" t="s">
        <v>299</v>
      </c>
      <c r="B155" s="992">
        <f>'8 Rozvaha'!G9</f>
        <v>14524</v>
      </c>
      <c r="C155" s="993">
        <f>B155</f>
        <v>14524</v>
      </c>
      <c r="D155" s="994">
        <f>C155</f>
        <v>14524</v>
      </c>
      <c r="E155" s="994">
        <f>D155</f>
        <v>14524</v>
      </c>
      <c r="F155" s="995">
        <f>E155</f>
        <v>14524</v>
      </c>
    </row>
    <row r="156" spans="1:6" ht="12.75">
      <c r="A156" s="73"/>
      <c r="B156" s="575"/>
      <c r="C156" s="575"/>
      <c r="D156" s="575"/>
      <c r="E156" s="575"/>
      <c r="F156" s="575"/>
    </row>
    <row r="157" spans="1:2" ht="13.5" thickBot="1">
      <c r="A157" s="73" t="s">
        <v>162</v>
      </c>
      <c r="B157" s="73"/>
    </row>
    <row r="158" spans="1:6" ht="12.75">
      <c r="A158" s="954" t="s">
        <v>254</v>
      </c>
      <c r="B158" s="996">
        <f>B136+B144+B152</f>
        <v>35372</v>
      </c>
      <c r="C158" s="998">
        <f>C136+C144+C152</f>
        <v>39470.35</v>
      </c>
      <c r="D158" s="999">
        <f>D136+D144+D152</f>
        <v>42426.7</v>
      </c>
      <c r="E158" s="999">
        <f>E136+E144+E152</f>
        <v>34857.05</v>
      </c>
      <c r="F158" s="1000">
        <f>F136+F144+F152</f>
        <v>31893.4</v>
      </c>
    </row>
    <row r="159" spans="1:6" ht="12.75">
      <c r="A159" s="955" t="s">
        <v>303</v>
      </c>
      <c r="B159" s="957">
        <f>B137+B145+B153+B155</f>
        <v>381188</v>
      </c>
      <c r="C159" s="1001">
        <f>C137+C145+C153+C155</f>
        <v>381638.65</v>
      </c>
      <c r="D159" s="1002">
        <f>D137+D145+D153+D155</f>
        <v>379132.95</v>
      </c>
      <c r="E159" s="1002">
        <f>E137+E145+E153+E155</f>
        <v>384196.9</v>
      </c>
      <c r="F159" s="1003">
        <f>F137+F145+F153+F155</f>
        <v>392224.5</v>
      </c>
    </row>
    <row r="160" spans="1:6" ht="13.5" thickBot="1">
      <c r="A160" s="956" t="s">
        <v>300</v>
      </c>
      <c r="B160" s="997">
        <f>F78+F84+F91</f>
        <v>8478</v>
      </c>
      <c r="C160" s="881">
        <f>$G$124</f>
        <v>39921</v>
      </c>
      <c r="D160" s="882">
        <f>$G$124</f>
        <v>39921</v>
      </c>
      <c r="E160" s="882">
        <f>$G$124</f>
        <v>39921</v>
      </c>
      <c r="F160" s="883">
        <f>$G$124</f>
        <v>39921</v>
      </c>
    </row>
    <row r="162" spans="3:6" ht="12.75">
      <c r="C162" s="185"/>
      <c r="D162" s="185"/>
      <c r="E162" s="185"/>
      <c r="F162" s="185"/>
    </row>
  </sheetData>
  <mergeCells count="39">
    <mergeCell ref="B92:F92"/>
    <mergeCell ref="B65:F65"/>
    <mergeCell ref="G65:J65"/>
    <mergeCell ref="B79:F79"/>
    <mergeCell ref="B85:F85"/>
    <mergeCell ref="C28:F28"/>
    <mergeCell ref="G28:J28"/>
    <mergeCell ref="C33:F33"/>
    <mergeCell ref="G33:J33"/>
    <mergeCell ref="C29:F29"/>
    <mergeCell ref="G29:J29"/>
    <mergeCell ref="C6:F6"/>
    <mergeCell ref="G6:J6"/>
    <mergeCell ref="C12:F12"/>
    <mergeCell ref="G12:J12"/>
    <mergeCell ref="D99:F99"/>
    <mergeCell ref="B114:C114"/>
    <mergeCell ref="B115:C115"/>
    <mergeCell ref="B116:C116"/>
    <mergeCell ref="B99:C99"/>
    <mergeCell ref="B100:C100"/>
    <mergeCell ref="B102:C102"/>
    <mergeCell ref="B101:C101"/>
    <mergeCell ref="B103:C103"/>
    <mergeCell ref="B106:C106"/>
    <mergeCell ref="D106:F106"/>
    <mergeCell ref="B113:C113"/>
    <mergeCell ref="D113:F113"/>
    <mergeCell ref="D120:F120"/>
    <mergeCell ref="B107:C107"/>
    <mergeCell ref="B108:C108"/>
    <mergeCell ref="B109:C109"/>
    <mergeCell ref="B110:C110"/>
    <mergeCell ref="B122:C122"/>
    <mergeCell ref="B123:C123"/>
    <mergeCell ref="B124:C124"/>
    <mergeCell ref="B117:C117"/>
    <mergeCell ref="B120:C120"/>
    <mergeCell ref="B121:C121"/>
  </mergeCells>
  <hyperlinks>
    <hyperlink ref="J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rowBreaks count="2" manualBreakCount="2">
    <brk id="66" max="255" man="1"/>
    <brk id="9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1.00390625" style="0" customWidth="1"/>
    <col min="2" max="6" width="10.75390625" style="0" customWidth="1"/>
  </cols>
  <sheetData>
    <row r="1" ht="21" customHeight="1">
      <c r="A1" s="740" t="s">
        <v>680</v>
      </c>
    </row>
    <row r="2" ht="12.75">
      <c r="F2" s="1248" t="s">
        <v>785</v>
      </c>
    </row>
    <row r="3" spans="1:3" ht="12.75">
      <c r="A3" s="1" t="s">
        <v>248</v>
      </c>
      <c r="B3" s="22">
        <f>ROUND('16 Generátory'!F7/1000,0)</f>
        <v>1895</v>
      </c>
      <c r="C3" s="1" t="s">
        <v>306</v>
      </c>
    </row>
    <row r="4" ht="12.75">
      <c r="B4" s="15"/>
    </row>
    <row r="5" spans="1:5" ht="12.75">
      <c r="A5" s="949"/>
      <c r="B5" s="1009">
        <f>'16 Generátory'!G10</f>
        <v>2002</v>
      </c>
      <c r="C5" s="1009">
        <f>'16 Generátory'!H10</f>
        <v>2003</v>
      </c>
      <c r="D5" s="1009">
        <f>'16 Generátory'!I10</f>
        <v>2004</v>
      </c>
      <c r="E5" s="1009">
        <f>'16 Generátory'!J10</f>
        <v>2005</v>
      </c>
    </row>
    <row r="6" spans="1:5" ht="12.75">
      <c r="A6" s="96" t="s">
        <v>308</v>
      </c>
      <c r="B6" s="194">
        <f>'16 Generátory'!G16</f>
        <v>0.05</v>
      </c>
      <c r="C6" s="194">
        <f>'16 Generátory'!H16</f>
        <v>0.0495</v>
      </c>
      <c r="D6" s="194">
        <f>'16 Generátory'!I16</f>
        <v>0.0485</v>
      </c>
      <c r="E6" s="194">
        <f>'16 Generátory'!J16</f>
        <v>0.0475</v>
      </c>
    </row>
    <row r="7" spans="1:5" ht="12.75">
      <c r="A7" s="96" t="s">
        <v>309</v>
      </c>
      <c r="B7" s="194">
        <f>'16 Generátory'!C158/'16 Generátory'!G7</f>
        <v>0.01987513586576782</v>
      </c>
      <c r="C7" s="194">
        <f>'16 Generátory'!D158/'16 Generátory'!H7</f>
        <v>0.020404769826472702</v>
      </c>
      <c r="D7" s="194">
        <f>'16 Generátory'!E158/'16 Generátory'!I7</f>
        <v>0.016103947530708377</v>
      </c>
      <c r="E7" s="194">
        <f>'16 Generátory'!F158/'16 Generátory'!J7</f>
        <v>0.014019735532176971</v>
      </c>
    </row>
    <row r="8" spans="1:5" ht="12.75">
      <c r="A8" s="96" t="s">
        <v>307</v>
      </c>
      <c r="B8" s="194">
        <f>B6-B7</f>
        <v>0.030124864134232182</v>
      </c>
      <c r="C8" s="194">
        <f>C6-C7</f>
        <v>0.0290952301735273</v>
      </c>
      <c r="D8" s="194">
        <f>D6-D7</f>
        <v>0.03239605246929163</v>
      </c>
      <c r="E8" s="194">
        <f>E6-E7</f>
        <v>0.033480264467823026</v>
      </c>
    </row>
    <row r="9" spans="1:5" ht="12.75">
      <c r="A9" s="195" t="s">
        <v>310</v>
      </c>
      <c r="B9" s="196">
        <f>B8*(1-0.31)</f>
        <v>0.020786156252620203</v>
      </c>
      <c r="C9" s="196">
        <f>C8*(1-0.31)</f>
        <v>0.020075708819733834</v>
      </c>
      <c r="D9" s="196">
        <f>D8*(1-0.31)</f>
        <v>0.022353276203811223</v>
      </c>
      <c r="E9" s="196">
        <f>E8*(1-0.31)</f>
        <v>0.023101382482797885</v>
      </c>
    </row>
    <row r="10" spans="1:5" ht="12.75">
      <c r="A10" s="86"/>
      <c r="B10" s="189"/>
      <c r="C10" s="189"/>
      <c r="D10" s="189"/>
      <c r="E10" s="189"/>
    </row>
    <row r="11" spans="1:6" ht="12.75">
      <c r="A11" s="935" t="s">
        <v>311</v>
      </c>
      <c r="B11" s="1024"/>
      <c r="C11" s="1024"/>
      <c r="D11" s="1024"/>
      <c r="E11" s="1024">
        <f>('16 Generátory'!$F$159-'16 Generátory'!$B$159)/'16 Generátory'!C96</f>
        <v>0.029048380170803485</v>
      </c>
      <c r="F11" s="197"/>
    </row>
    <row r="12" spans="1:7" ht="12.75">
      <c r="A12" s="935" t="s">
        <v>422</v>
      </c>
      <c r="B12" s="1024"/>
      <c r="C12" s="1024"/>
      <c r="D12" s="1024"/>
      <c r="E12" s="1024">
        <f>'16 Generátory'!G65</f>
        <v>0.06233657999541721</v>
      </c>
      <c r="F12" s="15"/>
      <c r="G12" s="15"/>
    </row>
    <row r="14" spans="1:5" ht="12.75">
      <c r="A14" s="1299" t="s">
        <v>683</v>
      </c>
      <c r="B14" s="1299" t="s">
        <v>681</v>
      </c>
      <c r="C14" s="1298" t="s">
        <v>682</v>
      </c>
      <c r="D14" s="1298"/>
      <c r="E14" s="1298"/>
    </row>
    <row r="15" spans="1:5" ht="12.75">
      <c r="A15" s="1300"/>
      <c r="B15" s="1300"/>
      <c r="C15" s="1212" t="s">
        <v>245</v>
      </c>
      <c r="D15" s="1212" t="s">
        <v>246</v>
      </c>
      <c r="E15" s="1212" t="s">
        <v>247</v>
      </c>
    </row>
    <row r="16" spans="1:5" ht="12.75">
      <c r="A16" s="1012" t="s">
        <v>239</v>
      </c>
      <c r="B16" s="1013" t="s">
        <v>240</v>
      </c>
      <c r="C16" s="1014">
        <v>0.04</v>
      </c>
      <c r="D16" s="1014">
        <v>0.05</v>
      </c>
      <c r="E16" s="1014">
        <v>0.06</v>
      </c>
    </row>
    <row r="17" spans="1:5" ht="19.5" customHeight="1">
      <c r="A17" s="1012" t="s">
        <v>488</v>
      </c>
      <c r="B17" s="1013" t="s">
        <v>684</v>
      </c>
      <c r="C17" s="1015">
        <v>0.019</v>
      </c>
      <c r="D17" s="1015">
        <v>0.022</v>
      </c>
      <c r="E17" s="1015">
        <v>0.023</v>
      </c>
    </row>
    <row r="18" spans="1:5" ht="19.5" customHeight="1">
      <c r="A18" s="1016" t="s">
        <v>241</v>
      </c>
      <c r="B18" s="1017"/>
      <c r="C18" s="1018"/>
      <c r="D18" s="1018"/>
      <c r="E18" s="1018"/>
    </row>
    <row r="19" spans="1:5" ht="15.75">
      <c r="A19" s="1016" t="s">
        <v>242</v>
      </c>
      <c r="B19" s="1017" t="s">
        <v>685</v>
      </c>
      <c r="C19" s="1019">
        <v>0.07</v>
      </c>
      <c r="D19" s="1019">
        <v>0.06</v>
      </c>
      <c r="E19" s="1019">
        <v>0.05</v>
      </c>
    </row>
    <row r="20" spans="1:5" ht="15.75">
      <c r="A20" s="1016" t="s">
        <v>243</v>
      </c>
      <c r="B20" s="1017" t="s">
        <v>686</v>
      </c>
      <c r="C20" s="1019">
        <v>0.04</v>
      </c>
      <c r="D20" s="1019">
        <v>0.03</v>
      </c>
      <c r="E20" s="1019">
        <v>0.02</v>
      </c>
    </row>
    <row r="21" spans="1:5" ht="12.75">
      <c r="A21" s="1020" t="s">
        <v>356</v>
      </c>
      <c r="B21" s="1021"/>
      <c r="C21" s="1022">
        <f>C19+C20</f>
        <v>0.11000000000000001</v>
      </c>
      <c r="D21" s="1022">
        <f>D19+D20</f>
        <v>0.09</v>
      </c>
      <c r="E21" s="1022">
        <f>E19+E20</f>
        <v>0.07</v>
      </c>
    </row>
    <row r="22" spans="1:5" ht="15.75">
      <c r="A22" s="1020" t="s">
        <v>244</v>
      </c>
      <c r="B22" s="1023" t="s">
        <v>687</v>
      </c>
      <c r="C22" s="1022">
        <v>0.13</v>
      </c>
      <c r="D22" s="1022">
        <v>0.12</v>
      </c>
      <c r="E22" s="1022">
        <v>0.11</v>
      </c>
    </row>
    <row r="23" spans="1:5" ht="12.75">
      <c r="A23" s="1043" t="s">
        <v>688</v>
      </c>
      <c r="B23" s="1044"/>
      <c r="C23" s="1045">
        <f>($B$3*(1+C16)*C17-$B$3*C16*C21)/(C22-C16)</f>
        <v>323.41333333333336</v>
      </c>
      <c r="D23" s="1045">
        <f>($B$3*(1+D16)*D17-$B$3*D16*D21)/(D22-D16)</f>
        <v>503.52857142857147</v>
      </c>
      <c r="E23" s="1045">
        <f>($B$3*(1+E16)*E17-$B$3*E16*E21)/(E22-E16)</f>
        <v>764.8219999999999</v>
      </c>
    </row>
    <row r="26" ht="12.75">
      <c r="A26" s="1025" t="s">
        <v>312</v>
      </c>
    </row>
    <row r="27" spans="1:6" ht="12.75">
      <c r="A27" s="949" t="s">
        <v>240</v>
      </c>
      <c r="B27" s="1027">
        <v>0.03</v>
      </c>
      <c r="C27" s="1027">
        <v>0.04</v>
      </c>
      <c r="D27" s="1027">
        <v>0.05</v>
      </c>
      <c r="E27" s="1027">
        <v>0.06</v>
      </c>
      <c r="F27" s="1027">
        <v>0.07</v>
      </c>
    </row>
    <row r="28" spans="1:6" ht="12.75">
      <c r="A28" s="1029" t="s">
        <v>688</v>
      </c>
      <c r="B28" s="1046">
        <f>($B$3*(1+B27)*$D$17-$B$3*B27*$D$21)/($D$22-B27)</f>
        <v>420.26888888888885</v>
      </c>
      <c r="C28" s="1046">
        <f>($B$3*(1+C27)*$D$17-$B$3*C27*$D$21)/($D$22-C27)</f>
        <v>456.6950000000001</v>
      </c>
      <c r="D28" s="1046">
        <f>($B$3*(1+D27)*$D$17-$B$3*D27*$D$21)/($D$22-D27)</f>
        <v>503.52857142857147</v>
      </c>
      <c r="E28" s="1046">
        <f>($B$3*(1+E27)*$D$17-$B$3*E27*$D$21)/($D$22-E27)</f>
        <v>565.9733333333334</v>
      </c>
      <c r="F28" s="1046">
        <f>($B$3*(1+F27)*$D$17-$B$3*F27*$D$21)/($D$22-F27)</f>
        <v>653.3960000000002</v>
      </c>
    </row>
    <row r="29" spans="1:6" ht="12.75">
      <c r="A29" s="96" t="s">
        <v>249</v>
      </c>
      <c r="B29" s="1026">
        <f>(B28-$D$28)/$D$28</f>
        <v>-0.1653524492234171</v>
      </c>
      <c r="C29" s="1026">
        <f>(C28-$D$28)/$D$28</f>
        <v>-0.0930107526881719</v>
      </c>
      <c r="D29" s="1026">
        <f>(D28-$D$28)/$D$28</f>
        <v>0</v>
      </c>
      <c r="E29" s="1026">
        <f>(E28-$D$28)/$D$28</f>
        <v>0.12401433691756268</v>
      </c>
      <c r="F29" s="1026">
        <f>(F28-$D$28)/$D$28</f>
        <v>0.2976344086021508</v>
      </c>
    </row>
    <row r="30" spans="2:6" ht="12.75">
      <c r="B30" s="80"/>
      <c r="C30" s="80"/>
      <c r="D30" s="80"/>
      <c r="E30" s="80"/>
      <c r="F30" s="80"/>
    </row>
    <row r="31" spans="2:6" ht="12.75">
      <c r="B31" s="79"/>
      <c r="C31" s="79"/>
      <c r="D31" s="79"/>
      <c r="E31" s="79"/>
      <c r="F31" s="79"/>
    </row>
  </sheetData>
  <mergeCells count="3">
    <mergeCell ref="C14:E14"/>
    <mergeCell ref="A14:A15"/>
    <mergeCell ref="B14:B15"/>
  </mergeCells>
  <hyperlinks>
    <hyperlink ref="F2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6.625" style="30" customWidth="1"/>
    <col min="2" max="6" width="10.125" style="30" customWidth="1"/>
    <col min="7" max="16384" width="9.125" style="30" customWidth="1"/>
  </cols>
  <sheetData>
    <row r="1" spans="1:6" ht="20.25" customHeight="1">
      <c r="A1" s="740" t="s">
        <v>676</v>
      </c>
      <c r="F1" s="1248" t="s">
        <v>785</v>
      </c>
    </row>
    <row r="3" spans="1:6" ht="20.25">
      <c r="A3" s="198" t="s">
        <v>522</v>
      </c>
      <c r="C3" s="536" t="s">
        <v>350</v>
      </c>
      <c r="D3" s="537"/>
      <c r="E3" s="537"/>
      <c r="F3" s="538">
        <v>0.31</v>
      </c>
    </row>
    <row r="4" spans="1:6" ht="15" customHeight="1">
      <c r="A4" s="198"/>
      <c r="C4" s="539" t="s">
        <v>514</v>
      </c>
      <c r="F4" s="540">
        <v>0.085</v>
      </c>
    </row>
    <row r="5" spans="1:6" ht="15" customHeight="1">
      <c r="A5" s="198"/>
      <c r="C5" s="539" t="s">
        <v>515</v>
      </c>
      <c r="F5" s="540">
        <v>0.09</v>
      </c>
    </row>
    <row r="6" spans="1:6" ht="15" customHeight="1">
      <c r="A6" s="198"/>
      <c r="C6" s="541" t="s">
        <v>516</v>
      </c>
      <c r="D6" s="542"/>
      <c r="E6" s="542"/>
      <c r="F6" s="543">
        <v>0.06</v>
      </c>
    </row>
    <row r="7" spans="1:5" ht="12.75" customHeight="1">
      <c r="A7" s="198"/>
      <c r="E7" s="267"/>
    </row>
    <row r="8" spans="1:5" ht="18.75" thickBot="1">
      <c r="A8" s="353" t="s">
        <v>482</v>
      </c>
      <c r="E8" s="267"/>
    </row>
    <row r="9" spans="1:6" ht="13.5" thickBot="1">
      <c r="A9" s="1004" t="s">
        <v>236</v>
      </c>
      <c r="B9" s="1005">
        <f>výchozí_rok+4</f>
        <v>2001</v>
      </c>
      <c r="C9" s="1006">
        <f>B9+1</f>
        <v>2002</v>
      </c>
      <c r="D9" s="1007">
        <f>C9+1</f>
        <v>2003</v>
      </c>
      <c r="E9" s="1007">
        <f>D9+1</f>
        <v>2004</v>
      </c>
      <c r="F9" s="1008">
        <f>E9+1</f>
        <v>2005</v>
      </c>
    </row>
    <row r="10" spans="1:6" ht="12.75">
      <c r="A10" s="35" t="s">
        <v>65</v>
      </c>
      <c r="B10" s="405">
        <f>'9 Výsledovka'!H4</f>
        <v>1894958</v>
      </c>
      <c r="C10" s="406">
        <f>'16 Generátory'!G7</f>
        <v>1985915.9840000002</v>
      </c>
      <c r="D10" s="407">
        <f>'16 Generátory'!H7</f>
        <v>2079254.035248</v>
      </c>
      <c r="E10" s="407">
        <f>'16 Generátory'!I7</f>
        <v>2164503.4506931677</v>
      </c>
      <c r="F10" s="408">
        <f>'16 Generátory'!J7</f>
        <v>2274893.126678519</v>
      </c>
    </row>
    <row r="11" spans="1:6" ht="12.75">
      <c r="A11" s="35" t="s">
        <v>66</v>
      </c>
      <c r="B11" s="405">
        <f>'9 Výsledovka'!H5</f>
        <v>1631536</v>
      </c>
      <c r="C11" s="406">
        <f>C10-C12</f>
        <v>1709873.662224</v>
      </c>
      <c r="D11" s="407">
        <f>D10-D12</f>
        <v>1790237.7243485278</v>
      </c>
      <c r="E11" s="407">
        <f>E10-E12</f>
        <v>1861472.9675961242</v>
      </c>
      <c r="F11" s="408">
        <f>F10-F12</f>
        <v>1954133.1958168477</v>
      </c>
    </row>
    <row r="12" spans="1:6" ht="13.5" thickBot="1">
      <c r="A12" s="77" t="s">
        <v>68</v>
      </c>
      <c r="B12" s="409">
        <f>B10-B11</f>
        <v>263422</v>
      </c>
      <c r="C12" s="410">
        <f>'16 Generátory'!G18*'18 Plán'!C10</f>
        <v>276042.321776</v>
      </c>
      <c r="D12" s="411">
        <f>'16 Generátory'!H18*'18 Plán'!D10</f>
        <v>289016.31089947204</v>
      </c>
      <c r="E12" s="411">
        <f>'16 Generátory'!I18*'18 Plán'!E10</f>
        <v>303030.4830970435</v>
      </c>
      <c r="F12" s="412">
        <f>'16 Generátory'!J18*'18 Plán'!F10</f>
        <v>320759.93086167116</v>
      </c>
    </row>
    <row r="13" spans="1:12" ht="12.75">
      <c r="A13" s="35" t="s">
        <v>70</v>
      </c>
      <c r="B13" s="405">
        <f>'9 Výsledovka'!H7</f>
        <v>31198</v>
      </c>
      <c r="C13" s="406">
        <f>C12-C14</f>
        <v>32767.613736</v>
      </c>
      <c r="D13" s="407">
        <f>D12-D14</f>
        <v>34307.69158159205</v>
      </c>
      <c r="E13" s="407">
        <f>E12-E14</f>
        <v>36796.55866178387</v>
      </c>
      <c r="F13" s="408">
        <f>F12-F14</f>
        <v>39810.6297168741</v>
      </c>
      <c r="H13" s="337"/>
      <c r="I13" s="337"/>
      <c r="J13" s="337"/>
      <c r="K13" s="337"/>
      <c r="L13" s="337"/>
    </row>
    <row r="14" spans="1:6" ht="13.5" thickBot="1">
      <c r="A14" s="77" t="s">
        <v>71</v>
      </c>
      <c r="B14" s="409">
        <f>B12-B13</f>
        <v>232224</v>
      </c>
      <c r="C14" s="410">
        <f>C10*'16 Generátory'!G19</f>
        <v>243274.70804000003</v>
      </c>
      <c r="D14" s="411">
        <f>D10*'16 Generátory'!H19</f>
        <v>254708.61931788</v>
      </c>
      <c r="E14" s="411">
        <f>E10*'16 Generátory'!I19</f>
        <v>266233.92443525966</v>
      </c>
      <c r="F14" s="412">
        <f>F10*'16 Generátory'!J19</f>
        <v>280949.30114479706</v>
      </c>
    </row>
    <row r="15" spans="1:6" ht="12.75">
      <c r="A15" s="35" t="s">
        <v>72</v>
      </c>
      <c r="B15" s="405">
        <f>'9 Výsledovka'!H9</f>
        <v>129686</v>
      </c>
      <c r="C15" s="406">
        <f>C10*'16 Generátory'!G20</f>
        <v>137999.62689122846</v>
      </c>
      <c r="D15" s="407">
        <f>D10*'16 Generátory'!H20</f>
        <v>145525.23637274018</v>
      </c>
      <c r="E15" s="407">
        <f>E10*'16 Generátory'!I20</f>
        <v>154738.5262400623</v>
      </c>
      <c r="F15" s="408">
        <f>F10*'16 Generátory'!J20</f>
        <v>166042.5307683232</v>
      </c>
    </row>
    <row r="16" spans="1:6" ht="12.75">
      <c r="A16" s="35" t="s">
        <v>76</v>
      </c>
      <c r="B16" s="405">
        <f>'9 Výsledovka'!H12</f>
        <v>4110</v>
      </c>
      <c r="C16" s="406">
        <f>C10*'16 Generátory'!G23</f>
        <v>5979.281948771545</v>
      </c>
      <c r="D16" s="407">
        <f>D10*'16 Generátory'!H23</f>
        <v>6260.308200363807</v>
      </c>
      <c r="E16" s="407">
        <f>E10*'16 Generátory'!I23</f>
        <v>6516.980836578723</v>
      </c>
      <c r="F16" s="408">
        <f>F10*'16 Generátory'!J23</f>
        <v>6849.346859244237</v>
      </c>
    </row>
    <row r="17" spans="1:6" ht="12.75">
      <c r="A17" s="58" t="s">
        <v>235</v>
      </c>
      <c r="B17" s="413">
        <f>'9 Výsledovka'!H13</f>
        <v>35372</v>
      </c>
      <c r="C17" s="414">
        <f>'16 Generátory'!C158</f>
        <v>39470.35</v>
      </c>
      <c r="D17" s="415">
        <f>'16 Generátory'!D158</f>
        <v>42426.7</v>
      </c>
      <c r="E17" s="415">
        <f>'16 Generátory'!E158</f>
        <v>34857.05</v>
      </c>
      <c r="F17" s="416">
        <f>'16 Generátory'!F158</f>
        <v>31893.4</v>
      </c>
    </row>
    <row r="18" spans="1:6" ht="12.75">
      <c r="A18" s="35" t="s">
        <v>472</v>
      </c>
      <c r="B18" s="405">
        <f>'9 Výsledovka'!H14+'9 Výsledovka'!H16</f>
        <v>-1094</v>
      </c>
      <c r="C18" s="406">
        <v>0</v>
      </c>
      <c r="D18" s="407">
        <v>0</v>
      </c>
      <c r="E18" s="407">
        <v>0</v>
      </c>
      <c r="F18" s="408">
        <v>0</v>
      </c>
    </row>
    <row r="19" spans="1:6" ht="13.5" thickBot="1">
      <c r="A19" s="492" t="s">
        <v>487</v>
      </c>
      <c r="B19" s="493">
        <f>B14-B15-B16-B17+B18</f>
        <v>61962</v>
      </c>
      <c r="C19" s="494">
        <f>C14-SUM(C15:C17)</f>
        <v>59825.44920000003</v>
      </c>
      <c r="D19" s="495">
        <f>D14-SUM(D15:D17)</f>
        <v>60496.374744776025</v>
      </c>
      <c r="E19" s="495">
        <f>E14-SUM(E15:E17)</f>
        <v>70121.36735861865</v>
      </c>
      <c r="F19" s="496">
        <f>F14-SUM(F15:F17)</f>
        <v>76164.02351722962</v>
      </c>
    </row>
    <row r="20" spans="1:6" ht="12.75">
      <c r="A20" s="355"/>
      <c r="B20" s="356"/>
      <c r="C20" s="356"/>
      <c r="D20" s="356"/>
      <c r="E20" s="356"/>
      <c r="F20" s="356"/>
    </row>
    <row r="21" spans="1:6" ht="18.75" thickBot="1">
      <c r="A21" s="357" t="s">
        <v>483</v>
      </c>
      <c r="B21" s="358"/>
      <c r="C21" s="358"/>
      <c r="D21" s="358"/>
      <c r="E21" s="358"/>
      <c r="F21" s="358"/>
    </row>
    <row r="22" spans="1:6" ht="13.5" thickBot="1">
      <c r="A22" s="1004" t="s">
        <v>236</v>
      </c>
      <c r="B22" s="1005">
        <f>výchozí_rok+4</f>
        <v>2001</v>
      </c>
      <c r="C22" s="1006">
        <f>B22+1</f>
        <v>2002</v>
      </c>
      <c r="D22" s="1007">
        <f>C22+1</f>
        <v>2003</v>
      </c>
      <c r="E22" s="1007">
        <f>D22+1</f>
        <v>2004</v>
      </c>
      <c r="F22" s="1008">
        <f>E22+1</f>
        <v>2005</v>
      </c>
    </row>
    <row r="23" spans="1:6" ht="13.5" thickBot="1">
      <c r="A23" s="513" t="s">
        <v>89</v>
      </c>
      <c r="B23" s="514">
        <f>'9 Výsledovka'!H20</f>
        <v>14036</v>
      </c>
      <c r="C23" s="515">
        <f>$F$4*B133+$F$5*B140+$F$6*B141</f>
        <v>9564.47</v>
      </c>
      <c r="D23" s="516">
        <f>$F$4*C133+$F$5*C140+$F$6*C141</f>
        <v>9564.47</v>
      </c>
      <c r="E23" s="516">
        <f>$F$4*D133+$F$5*D140+$F$6*D141</f>
        <v>9564.47</v>
      </c>
      <c r="F23" s="517">
        <f>$F$4*E133+$F$5*E140+$F$6*E141</f>
        <v>9564.47</v>
      </c>
    </row>
    <row r="24" spans="1:6" ht="12.75">
      <c r="A24" s="199"/>
      <c r="B24" s="29"/>
      <c r="C24" s="29"/>
      <c r="D24" s="29"/>
      <c r="E24" s="29"/>
      <c r="F24" s="29"/>
    </row>
    <row r="25" spans="1:5" ht="18.75" thickBot="1">
      <c r="A25" s="353" t="s">
        <v>484</v>
      </c>
      <c r="B25" s="201"/>
      <c r="C25" s="202"/>
      <c r="D25" s="184"/>
      <c r="E25" s="544"/>
    </row>
    <row r="26" spans="1:6" ht="13.5" thickBot="1">
      <c r="A26" s="1004" t="s">
        <v>236</v>
      </c>
      <c r="B26" s="1005">
        <f>výchozí_rok+4</f>
        <v>2001</v>
      </c>
      <c r="C26" s="1006">
        <f>B26+1</f>
        <v>2002</v>
      </c>
      <c r="D26" s="1007">
        <f>C26+1</f>
        <v>2003</v>
      </c>
      <c r="E26" s="1007">
        <f>D26+1</f>
        <v>2004</v>
      </c>
      <c r="F26" s="1008">
        <f>E26+1</f>
        <v>2005</v>
      </c>
    </row>
    <row r="27" spans="1:6" ht="12.75">
      <c r="A27" s="35" t="s">
        <v>84</v>
      </c>
      <c r="B27" s="405">
        <f>'9 Výsledovka'!H18</f>
        <v>63.7</v>
      </c>
      <c r="C27" s="406">
        <f>B27</f>
        <v>63.7</v>
      </c>
      <c r="D27" s="407">
        <f>C27</f>
        <v>63.7</v>
      </c>
      <c r="E27" s="407">
        <f>D27</f>
        <v>63.7</v>
      </c>
      <c r="F27" s="408">
        <f>E27</f>
        <v>63.7</v>
      </c>
    </row>
    <row r="28" spans="1:6" ht="12.75">
      <c r="A28" s="35" t="s">
        <v>87</v>
      </c>
      <c r="B28" s="405">
        <f>'9 Výsledovka'!H19</f>
        <v>422.73623305999905</v>
      </c>
      <c r="C28" s="406">
        <f>B116*0.015</f>
        <v>329.65871829089923</v>
      </c>
      <c r="D28" s="407">
        <f>C116*0.015</f>
        <v>433.21188727945696</v>
      </c>
      <c r="E28" s="407">
        <f>D116*0.015</f>
        <v>755.1869239333412</v>
      </c>
      <c r="F28" s="408">
        <f>E116*0.015</f>
        <v>955.5284779283347</v>
      </c>
    </row>
    <row r="29" spans="1:6" ht="13.5" thickBot="1">
      <c r="A29" s="492" t="s">
        <v>485</v>
      </c>
      <c r="B29" s="493">
        <f>B27+B28</f>
        <v>486.43623305999904</v>
      </c>
      <c r="C29" s="494">
        <f>C27+C28</f>
        <v>393.3587182908992</v>
      </c>
      <c r="D29" s="495">
        <f>D27+D28</f>
        <v>496.91188727945695</v>
      </c>
      <c r="E29" s="495">
        <f>E27+E28</f>
        <v>818.8869239333412</v>
      </c>
      <c r="F29" s="496">
        <f>F27+F28</f>
        <v>1019.2284779283348</v>
      </c>
    </row>
    <row r="30" spans="1:6" ht="12.75">
      <c r="A30" s="355"/>
      <c r="B30" s="568"/>
      <c r="C30" s="568"/>
      <c r="D30" s="568"/>
      <c r="E30" s="568"/>
      <c r="F30" s="568"/>
    </row>
    <row r="31" spans="1:6" ht="18.75" thickBot="1">
      <c r="A31" s="357" t="s">
        <v>486</v>
      </c>
      <c r="B31" s="569"/>
      <c r="C31" s="569"/>
      <c r="D31" s="569"/>
      <c r="E31" s="569"/>
      <c r="F31" s="569"/>
    </row>
    <row r="32" spans="1:6" ht="13.5" thickBot="1">
      <c r="A32" s="1004" t="s">
        <v>236</v>
      </c>
      <c r="B32" s="1005">
        <f>výchozí_rok+4</f>
        <v>2001</v>
      </c>
      <c r="C32" s="1006">
        <f>B32+1</f>
        <v>2002</v>
      </c>
      <c r="D32" s="1007">
        <f>C32+1</f>
        <v>2003</v>
      </c>
      <c r="E32" s="1007">
        <f>D32+1</f>
        <v>2004</v>
      </c>
      <c r="F32" s="1008">
        <f>E32+1</f>
        <v>2005</v>
      </c>
    </row>
    <row r="33" spans="1:6" ht="12.75">
      <c r="A33" s="33" t="s">
        <v>510</v>
      </c>
      <c r="B33" s="420">
        <f>'9 Výsledovka'!H24-'9 Výsledovka'!H25</f>
        <v>2362</v>
      </c>
      <c r="C33" s="421">
        <v>0</v>
      </c>
      <c r="D33" s="422">
        <v>0</v>
      </c>
      <c r="E33" s="422">
        <v>0</v>
      </c>
      <c r="F33" s="423">
        <v>0</v>
      </c>
    </row>
    <row r="34" spans="1:6" ht="12.75">
      <c r="A34" s="354" t="s">
        <v>511</v>
      </c>
      <c r="B34" s="420">
        <f>'9 Výsledovka'!H29</f>
        <v>50774.43623306</v>
      </c>
      <c r="C34" s="421">
        <f>C19-C23+C29</f>
        <v>50654.33791829093</v>
      </c>
      <c r="D34" s="422">
        <f>D19-D23+D29</f>
        <v>51428.81663205548</v>
      </c>
      <c r="E34" s="422">
        <f>E19-E23+E29</f>
        <v>61375.78428255199</v>
      </c>
      <c r="F34" s="423">
        <f>F19-F23+F29</f>
        <v>67618.78199515796</v>
      </c>
    </row>
    <row r="35" spans="1:6" ht="13.5" thickBot="1">
      <c r="A35" s="35" t="s">
        <v>489</v>
      </c>
      <c r="B35" s="405">
        <f>'9 Výsledovka'!H22+'9 Výsledovka'!H26</f>
        <v>12524</v>
      </c>
      <c r="C35" s="406">
        <f>C34*$F$3</f>
        <v>15702.844754670186</v>
      </c>
      <c r="D35" s="407">
        <f>D34*$F$3</f>
        <v>15942.933155937199</v>
      </c>
      <c r="E35" s="407">
        <f>E34*$F$3</f>
        <v>19026.49312759112</v>
      </c>
      <c r="F35" s="408">
        <f>F34*$F$3</f>
        <v>20961.822418498967</v>
      </c>
    </row>
    <row r="36" spans="1:8" ht="13.5" thickBot="1">
      <c r="A36" s="497" t="s">
        <v>500</v>
      </c>
      <c r="B36" s="498">
        <f>B34-B35</f>
        <v>38250.43623306</v>
      </c>
      <c r="C36" s="499">
        <f>C34-C35</f>
        <v>34951.49316362074</v>
      </c>
      <c r="D36" s="500">
        <f>D34-D35</f>
        <v>35485.88347611828</v>
      </c>
      <c r="E36" s="500">
        <f>E34-E35</f>
        <v>42349.29115496087</v>
      </c>
      <c r="F36" s="501">
        <f>F34-F35</f>
        <v>46656.95957665899</v>
      </c>
      <c r="H36" s="425"/>
    </row>
    <row r="37" spans="2:6" ht="38.25" customHeight="1">
      <c r="B37" s="425"/>
      <c r="C37" s="425"/>
      <c r="D37" s="425"/>
      <c r="E37" s="425"/>
      <c r="F37" s="425"/>
    </row>
    <row r="38" spans="1:6" ht="21" thickBot="1">
      <c r="A38" s="198" t="s">
        <v>523</v>
      </c>
      <c r="B38" s="425"/>
      <c r="C38" s="425"/>
      <c r="D38" s="425"/>
      <c r="E38" s="425"/>
      <c r="F38" s="425"/>
    </row>
    <row r="39" spans="1:6" ht="13.5" thickBot="1">
      <c r="A39" s="1004" t="s">
        <v>236</v>
      </c>
      <c r="B39" s="1005">
        <f>výchozí_rok+4</f>
        <v>2001</v>
      </c>
      <c r="C39" s="1006">
        <f>B39+1</f>
        <v>2002</v>
      </c>
      <c r="D39" s="1007">
        <f>C39+1</f>
        <v>2003</v>
      </c>
      <c r="E39" s="1007">
        <f>D39+1</f>
        <v>2004</v>
      </c>
      <c r="F39" s="1008">
        <f>E39+1</f>
        <v>2005</v>
      </c>
    </row>
    <row r="40" spans="1:6" ht="13.5" thickBot="1">
      <c r="A40" s="203" t="s">
        <v>101</v>
      </c>
      <c r="B40" s="426">
        <f>'10 Cash flow'!F4</f>
        <v>21136.811652999953</v>
      </c>
      <c r="C40" s="427">
        <f>B94</f>
        <v>21977.24788605995</v>
      </c>
      <c r="D40" s="428">
        <f>C94</f>
        <v>28880.79248529713</v>
      </c>
      <c r="E40" s="429">
        <f>D94</f>
        <v>50345.794928889416</v>
      </c>
      <c r="F40" s="430">
        <f>E94</f>
        <v>63701.89852855565</v>
      </c>
    </row>
    <row r="41" spans="1:6" ht="8.25" customHeight="1">
      <c r="A41" s="362"/>
      <c r="B41" s="431"/>
      <c r="C41" s="431"/>
      <c r="D41" s="431"/>
      <c r="E41" s="431"/>
      <c r="F41" s="431"/>
    </row>
    <row r="42" spans="1:6" ht="18.75" thickBot="1">
      <c r="A42" s="357" t="s">
        <v>490</v>
      </c>
      <c r="B42" s="432"/>
      <c r="C42" s="432"/>
      <c r="D42" s="432"/>
      <c r="E42" s="432"/>
      <c r="F42" s="432"/>
    </row>
    <row r="43" spans="1:6" ht="13.5" thickBot="1">
      <c r="A43" s="1004" t="s">
        <v>236</v>
      </c>
      <c r="B43" s="1005">
        <f>výchozí_rok+4</f>
        <v>2001</v>
      </c>
      <c r="C43" s="1006">
        <f>B43+1</f>
        <v>2002</v>
      </c>
      <c r="D43" s="1007">
        <f>C43+1</f>
        <v>2003</v>
      </c>
      <c r="E43" s="1007">
        <f>D43+1</f>
        <v>2004</v>
      </c>
      <c r="F43" s="1008">
        <f>E43+1</f>
        <v>2005</v>
      </c>
    </row>
    <row r="44" spans="1:6" ht="12.75">
      <c r="A44" s="363" t="s">
        <v>496</v>
      </c>
      <c r="B44" s="366"/>
      <c r="C44" s="367"/>
      <c r="D44" s="368"/>
      <c r="E44" s="369"/>
      <c r="F44" s="370"/>
    </row>
    <row r="45" spans="1:6" ht="12.75">
      <c r="A45" s="34" t="s">
        <v>491</v>
      </c>
      <c r="B45" s="371">
        <f>B19</f>
        <v>61962</v>
      </c>
      <c r="C45" s="372">
        <f>C19</f>
        <v>59825.44920000003</v>
      </c>
      <c r="D45" s="373">
        <f>D19</f>
        <v>60496.374744776025</v>
      </c>
      <c r="E45" s="374">
        <f>E19</f>
        <v>70121.36735861865</v>
      </c>
      <c r="F45" s="375">
        <f>F19</f>
        <v>76164.02351722962</v>
      </c>
    </row>
    <row r="46" spans="1:6" ht="12.75">
      <c r="A46" s="35" t="s">
        <v>521</v>
      </c>
      <c r="B46" s="376">
        <f>B45*$F$3</f>
        <v>19208.22</v>
      </c>
      <c r="C46" s="377">
        <f>C45*$F$3</f>
        <v>18545.889252000008</v>
      </c>
      <c r="D46" s="378">
        <f>D45*$F$3</f>
        <v>18753.87617088057</v>
      </c>
      <c r="E46" s="379">
        <f>E45*$F$3</f>
        <v>21737.62388117178</v>
      </c>
      <c r="F46" s="380">
        <f>F45*$F$3</f>
        <v>23610.847290341182</v>
      </c>
    </row>
    <row r="47" spans="1:7" ht="12.75">
      <c r="A47" s="205" t="s">
        <v>492</v>
      </c>
      <c r="B47" s="381">
        <f>B45-B46</f>
        <v>42753.78</v>
      </c>
      <c r="C47" s="382">
        <f>C45-C46</f>
        <v>41279.559948000024</v>
      </c>
      <c r="D47" s="383">
        <f>D45-D46</f>
        <v>41742.49857389546</v>
      </c>
      <c r="E47" s="384">
        <f>E45-E46</f>
        <v>48383.74347744687</v>
      </c>
      <c r="F47" s="385">
        <f>F45-F46</f>
        <v>52553.17622688844</v>
      </c>
      <c r="G47" s="425"/>
    </row>
    <row r="48" spans="1:7" ht="12.75">
      <c r="A48" s="34" t="s">
        <v>105</v>
      </c>
      <c r="B48" s="371">
        <f>SUM(B49:B50)</f>
        <v>36466</v>
      </c>
      <c r="C48" s="372">
        <f>SUM(C49:C50)</f>
        <v>39470.35</v>
      </c>
      <c r="D48" s="373">
        <f>SUM(D49:D50)</f>
        <v>42426.7</v>
      </c>
      <c r="E48" s="374">
        <f>SUM(E49:E50)</f>
        <v>34857.05</v>
      </c>
      <c r="F48" s="375">
        <f>SUM(F49:F50)</f>
        <v>31893.4</v>
      </c>
      <c r="G48" s="425"/>
    </row>
    <row r="49" spans="1:6" ht="12.75">
      <c r="A49" s="35" t="s">
        <v>493</v>
      </c>
      <c r="B49" s="376">
        <f>'10 Cash flow'!F8</f>
        <v>35372</v>
      </c>
      <c r="C49" s="377">
        <f>C17</f>
        <v>39470.35</v>
      </c>
      <c r="D49" s="378">
        <f>D17</f>
        <v>42426.7</v>
      </c>
      <c r="E49" s="379">
        <f>E17</f>
        <v>34857.05</v>
      </c>
      <c r="F49" s="380">
        <f>F17</f>
        <v>31893.4</v>
      </c>
    </row>
    <row r="50" spans="1:6" ht="12.75">
      <c r="A50" s="58" t="s">
        <v>109</v>
      </c>
      <c r="B50" s="386">
        <f>'10 Cash flow'!F9</f>
        <v>1094</v>
      </c>
      <c r="C50" s="387">
        <v>0</v>
      </c>
      <c r="D50" s="388">
        <v>0</v>
      </c>
      <c r="E50" s="389">
        <v>0</v>
      </c>
      <c r="F50" s="390">
        <v>0</v>
      </c>
    </row>
    <row r="51" spans="1:7" ht="12.75">
      <c r="A51" s="34" t="s">
        <v>494</v>
      </c>
      <c r="B51" s="371">
        <f>SUM(B52:B54)</f>
        <v>-7656</v>
      </c>
      <c r="C51" s="372">
        <f>SUM(C52:C54)</f>
        <v>-11721.29856438355</v>
      </c>
      <c r="D51" s="373">
        <f>SUM(D52:D54)</f>
        <v>-383.5810325259881</v>
      </c>
      <c r="E51" s="374">
        <f>SUM(E52:E54)</f>
        <v>3800.762444705353</v>
      </c>
      <c r="F51" s="375">
        <f>SUM(F52:F54)</f>
        <v>-241.94997476247954</v>
      </c>
      <c r="G51" s="425"/>
    </row>
    <row r="52" spans="1:11" ht="12.75">
      <c r="A52" s="35" t="s">
        <v>114</v>
      </c>
      <c r="B52" s="376">
        <f>'10 Cash flow'!F12</f>
        <v>-16942</v>
      </c>
      <c r="C52" s="377">
        <f>-('16 Generátory'!G61-'16 Generátory'!F61)</f>
        <v>-6164.388515068502</v>
      </c>
      <c r="D52" s="378">
        <f>-('16 Generátory'!H61-'16 Generátory'!G61)</f>
        <v>-3068.6482602082033</v>
      </c>
      <c r="E52" s="379">
        <f>-('16 Generátory'!I61-'16 Generátory'!H61)</f>
        <v>-2802.7205077863473</v>
      </c>
      <c r="F52" s="380">
        <f>-('16 Generátory'!J61-'16 Generátory'!I61)</f>
        <v>-3629.2496214362036</v>
      </c>
      <c r="H52" s="425"/>
      <c r="I52" s="425"/>
      <c r="J52" s="425"/>
      <c r="K52" s="425"/>
    </row>
    <row r="53" spans="1:11" ht="12.75">
      <c r="A53" s="35" t="s">
        <v>473</v>
      </c>
      <c r="B53" s="376">
        <f>'10 Cash flow'!F13</f>
        <v>1486</v>
      </c>
      <c r="C53" s="377">
        <f>'16 Generátory'!G63-'16 Generátory'!F63</f>
        <v>15939.762673972611</v>
      </c>
      <c r="D53" s="378">
        <f>'16 Generátory'!H63-'16 Generátory'!G63</f>
        <v>9973.106845676695</v>
      </c>
      <c r="E53" s="379">
        <f>'16 Generátory'!I63-'16 Generátory'!H63</f>
        <v>13259.944158484257</v>
      </c>
      <c r="F53" s="380">
        <f>'16 Generátory'!J63-'16 Generátory'!I63</f>
        <v>12006.767497584748</v>
      </c>
      <c r="H53" s="425"/>
      <c r="I53" s="425"/>
      <c r="J53" s="425"/>
      <c r="K53" s="425"/>
    </row>
    <row r="54" spans="1:11" ht="12.75">
      <c r="A54" s="35" t="s">
        <v>117</v>
      </c>
      <c r="B54" s="376">
        <f>'10 Cash flow'!F14</f>
        <v>7800</v>
      </c>
      <c r="C54" s="377">
        <f>-('16 Generátory'!G60-'16 Generátory'!F60)</f>
        <v>-21496.67272328766</v>
      </c>
      <c r="D54" s="378">
        <f>-('16 Generátory'!H60-'16 Generátory'!G60)</f>
        <v>-7288.03961799448</v>
      </c>
      <c r="E54" s="379">
        <f>-('16 Generátory'!I60-'16 Generátory'!H60)</f>
        <v>-6656.461205992557</v>
      </c>
      <c r="F54" s="380">
        <f>-('16 Generátory'!J60-'16 Generátory'!I60)</f>
        <v>-8619.467850911024</v>
      </c>
      <c r="H54" s="425"/>
      <c r="I54" s="425"/>
      <c r="J54" s="425"/>
      <c r="K54" s="425"/>
    </row>
    <row r="55" spans="1:7" ht="13.5" thickBot="1">
      <c r="A55" s="77" t="s">
        <v>119</v>
      </c>
      <c r="B55" s="391">
        <f>B47+B48+B51</f>
        <v>71563.78</v>
      </c>
      <c r="C55" s="392">
        <f>C47+C48+C51</f>
        <v>69028.61138361646</v>
      </c>
      <c r="D55" s="393">
        <f>D47+D48+D51</f>
        <v>83785.61754136946</v>
      </c>
      <c r="E55" s="394">
        <f>E47+E48+E51</f>
        <v>87041.55592215223</v>
      </c>
      <c r="F55" s="395">
        <f>F47+F48+F51</f>
        <v>84204.62625212596</v>
      </c>
      <c r="G55" s="425"/>
    </row>
    <row r="56" spans="1:6" ht="12.75">
      <c r="A56" s="364" t="s">
        <v>497</v>
      </c>
      <c r="B56" s="396"/>
      <c r="C56" s="397"/>
      <c r="D56" s="398"/>
      <c r="E56" s="399"/>
      <c r="F56" s="400"/>
    </row>
    <row r="57" spans="1:7" ht="12.75">
      <c r="A57" s="205" t="s">
        <v>495</v>
      </c>
      <c r="B57" s="381">
        <f>'10 Cash flow'!F19</f>
        <v>-8478</v>
      </c>
      <c r="C57" s="382">
        <f>-'16 Generátory'!C160</f>
        <v>-39921</v>
      </c>
      <c r="D57" s="383">
        <f>-'16 Generátory'!D160</f>
        <v>-39921</v>
      </c>
      <c r="E57" s="384">
        <f>-'16 Generátory'!E160</f>
        <v>-39921</v>
      </c>
      <c r="F57" s="385">
        <f>-'16 Generátory'!F160</f>
        <v>-39921</v>
      </c>
      <c r="G57" s="425"/>
    </row>
    <row r="58" spans="1:11" ht="13.5" thickBot="1">
      <c r="A58" s="47" t="s">
        <v>126</v>
      </c>
      <c r="B58" s="401">
        <f>B57</f>
        <v>-8478</v>
      </c>
      <c r="C58" s="402">
        <f>C57</f>
        <v>-39921</v>
      </c>
      <c r="D58" s="403">
        <f>D57</f>
        <v>-39921</v>
      </c>
      <c r="E58" s="403">
        <f>E57</f>
        <v>-39921</v>
      </c>
      <c r="F58" s="404">
        <f>F57</f>
        <v>-39921</v>
      </c>
      <c r="H58" s="425"/>
      <c r="I58" s="425"/>
      <c r="J58" s="425"/>
      <c r="K58" s="425"/>
    </row>
    <row r="59" spans="1:6" ht="13.5" thickBot="1">
      <c r="A59" s="502" t="s">
        <v>498</v>
      </c>
      <c r="B59" s="503">
        <f>B58+B55</f>
        <v>63085.78</v>
      </c>
      <c r="C59" s="504">
        <f>C58+C55</f>
        <v>29107.61138361646</v>
      </c>
      <c r="D59" s="505">
        <f>D58+D55</f>
        <v>43864.61754136946</v>
      </c>
      <c r="E59" s="505">
        <f>E58+E55</f>
        <v>47120.55592215223</v>
      </c>
      <c r="F59" s="506">
        <f>F58+F55</f>
        <v>44283.62625212596</v>
      </c>
    </row>
    <row r="60" spans="3:6" ht="7.5" customHeight="1">
      <c r="C60" s="575"/>
      <c r="D60" s="575"/>
      <c r="E60" s="575"/>
      <c r="F60" s="575"/>
    </row>
    <row r="61" spans="1:6" ht="18.75" thickBot="1">
      <c r="A61" s="357" t="s">
        <v>483</v>
      </c>
      <c r="B61" s="358"/>
      <c r="C61" s="358"/>
      <c r="D61" s="358"/>
      <c r="E61" s="358"/>
      <c r="F61" s="358"/>
    </row>
    <row r="62" spans="1:6" ht="13.5" thickBot="1">
      <c r="A62" s="1004" t="s">
        <v>236</v>
      </c>
      <c r="B62" s="1005">
        <f>výchozí_rok+4</f>
        <v>2001</v>
      </c>
      <c r="C62" s="1006">
        <f>B62+1</f>
        <v>2002</v>
      </c>
      <c r="D62" s="1007">
        <f>C62+1</f>
        <v>2003</v>
      </c>
      <c r="E62" s="1007">
        <f>D62+1</f>
        <v>2004</v>
      </c>
      <c r="F62" s="1008">
        <f>E62+1</f>
        <v>2005</v>
      </c>
    </row>
    <row r="63" spans="1:6" ht="13.5" thickBot="1">
      <c r="A63" s="502" t="s">
        <v>501</v>
      </c>
      <c r="B63" s="503">
        <f>-B23</f>
        <v>-14036</v>
      </c>
      <c r="C63" s="504">
        <f>-C23</f>
        <v>-9564.47</v>
      </c>
      <c r="D63" s="505">
        <f>-D23</f>
        <v>-9564.47</v>
      </c>
      <c r="E63" s="505">
        <f>-E23</f>
        <v>-9564.47</v>
      </c>
      <c r="F63" s="506">
        <f>-F23</f>
        <v>-9564.47</v>
      </c>
    </row>
    <row r="64" spans="1:6" ht="9" customHeight="1">
      <c r="A64" s="4"/>
      <c r="B64" s="433"/>
      <c r="C64" s="433"/>
      <c r="D64" s="433"/>
      <c r="E64" s="433"/>
      <c r="F64" s="433"/>
    </row>
    <row r="65" spans="1:6" ht="18.75" thickBot="1">
      <c r="A65" s="357" t="s">
        <v>503</v>
      </c>
      <c r="B65" s="432"/>
      <c r="C65" s="432"/>
      <c r="D65" s="432"/>
      <c r="E65" s="432"/>
      <c r="F65" s="432"/>
    </row>
    <row r="66" spans="1:6" ht="13.5" thickBot="1">
      <c r="A66" s="1004" t="s">
        <v>236</v>
      </c>
      <c r="B66" s="1005">
        <f>výchozí_rok+4</f>
        <v>2001</v>
      </c>
      <c r="C66" s="1006">
        <f>B66+1</f>
        <v>2002</v>
      </c>
      <c r="D66" s="1007">
        <f>C66+1</f>
        <v>2003</v>
      </c>
      <c r="E66" s="1007">
        <f>D66+1</f>
        <v>2004</v>
      </c>
      <c r="F66" s="1008">
        <f>E66+1</f>
        <v>2005</v>
      </c>
    </row>
    <row r="67" spans="1:6" ht="12.75">
      <c r="A67" s="354" t="s">
        <v>748</v>
      </c>
      <c r="B67" s="525">
        <f>SUM(B68:B71)</f>
        <v>9532.656233059999</v>
      </c>
      <c r="C67" s="526">
        <f>SUM(C68:C71)</f>
        <v>3236.403215620721</v>
      </c>
      <c r="D67" s="527">
        <f>SUM(D68:D71)</f>
        <v>3307.854902222827</v>
      </c>
      <c r="E67" s="528">
        <f>SUM(E68:E71)</f>
        <v>3530.017677514004</v>
      </c>
      <c r="F67" s="529">
        <f>SUM(F68:F71)</f>
        <v>3668.25334977055</v>
      </c>
    </row>
    <row r="68" spans="1:6" ht="12.75">
      <c r="A68" s="365" t="s">
        <v>84</v>
      </c>
      <c r="B68" s="508">
        <f aca="true" t="shared" si="0" ref="B68:F69">B27</f>
        <v>63.7</v>
      </c>
      <c r="C68" s="509">
        <f t="shared" si="0"/>
        <v>63.7</v>
      </c>
      <c r="D68" s="510">
        <f t="shared" si="0"/>
        <v>63.7</v>
      </c>
      <c r="E68" s="511">
        <f t="shared" si="0"/>
        <v>63.7</v>
      </c>
      <c r="F68" s="512">
        <f t="shared" si="0"/>
        <v>63.7</v>
      </c>
    </row>
    <row r="69" spans="1:6" ht="12.75">
      <c r="A69" s="365" t="s">
        <v>87</v>
      </c>
      <c r="B69" s="508">
        <f t="shared" si="0"/>
        <v>422.73623305999905</v>
      </c>
      <c r="C69" s="509">
        <f t="shared" si="0"/>
        <v>329.65871829089923</v>
      </c>
      <c r="D69" s="510">
        <f t="shared" si="0"/>
        <v>433.21188727945696</v>
      </c>
      <c r="E69" s="511">
        <f t="shared" si="0"/>
        <v>755.1869239333412</v>
      </c>
      <c r="F69" s="512">
        <f t="shared" si="0"/>
        <v>955.5284779283347</v>
      </c>
    </row>
    <row r="70" spans="1:6" ht="12.75">
      <c r="A70" s="365" t="s">
        <v>749</v>
      </c>
      <c r="B70" s="508">
        <f>-(B35-B46)</f>
        <v>6684.220000000001</v>
      </c>
      <c r="C70" s="509">
        <f>-(C35-C46)</f>
        <v>2843.0444973298218</v>
      </c>
      <c r="D70" s="510">
        <f>-(D35-D46)</f>
        <v>2810.94301494337</v>
      </c>
      <c r="E70" s="511">
        <f>-(E35-E46)</f>
        <v>2711.1307535806627</v>
      </c>
      <c r="F70" s="512">
        <f>-(F35-F46)</f>
        <v>2649.0248718422154</v>
      </c>
    </row>
    <row r="71" spans="1:6" ht="12.75">
      <c r="A71" s="530" t="s">
        <v>510</v>
      </c>
      <c r="B71" s="531">
        <f>B33</f>
        <v>2362</v>
      </c>
      <c r="C71" s="532">
        <v>0</v>
      </c>
      <c r="D71" s="533">
        <v>0</v>
      </c>
      <c r="E71" s="534">
        <v>0</v>
      </c>
      <c r="F71" s="535">
        <v>0</v>
      </c>
    </row>
    <row r="72" spans="1:6" ht="12.75">
      <c r="A72" s="354" t="s">
        <v>508</v>
      </c>
      <c r="B72" s="525">
        <f>B73</f>
        <v>0</v>
      </c>
      <c r="C72" s="526">
        <f>C73</f>
        <v>0</v>
      </c>
      <c r="D72" s="527">
        <f>D73</f>
        <v>0</v>
      </c>
      <c r="E72" s="528">
        <f>E73</f>
        <v>0</v>
      </c>
      <c r="F72" s="529">
        <f>F73</f>
        <v>0</v>
      </c>
    </row>
    <row r="73" spans="1:6" ht="12.75">
      <c r="A73" s="58" t="s">
        <v>124</v>
      </c>
      <c r="B73" s="386">
        <v>0</v>
      </c>
      <c r="C73" s="387">
        <v>0</v>
      </c>
      <c r="D73" s="388">
        <v>0</v>
      </c>
      <c r="E73" s="389">
        <v>0</v>
      </c>
      <c r="F73" s="390">
        <v>0</v>
      </c>
    </row>
    <row r="74" spans="1:6" ht="12.75">
      <c r="A74" s="34" t="s">
        <v>509</v>
      </c>
      <c r="B74" s="371">
        <f>B75</f>
        <v>768</v>
      </c>
      <c r="C74" s="372">
        <f>C75</f>
        <v>1600</v>
      </c>
      <c r="D74" s="373">
        <f>D75</f>
        <v>1600</v>
      </c>
      <c r="E74" s="374">
        <f>E75</f>
        <v>4032</v>
      </c>
      <c r="F74" s="375">
        <f>F75</f>
        <v>0</v>
      </c>
    </row>
    <row r="75" spans="1:6" ht="12.75">
      <c r="A75" s="35" t="s">
        <v>499</v>
      </c>
      <c r="B75" s="376">
        <f>-('8 Rozvaha'!G14-'8 Rozvaha'!F14)</f>
        <v>768</v>
      </c>
      <c r="C75" s="377">
        <f>-(C109-B109)</f>
        <v>1600</v>
      </c>
      <c r="D75" s="378">
        <f>-(D109-C109)</f>
        <v>1600</v>
      </c>
      <c r="E75" s="379">
        <f>-(E109-D109)</f>
        <v>4032</v>
      </c>
      <c r="F75" s="380">
        <f>-(F109-E109)</f>
        <v>0</v>
      </c>
    </row>
    <row r="76" spans="1:6" ht="13.5" thickBot="1">
      <c r="A76" s="492" t="s">
        <v>502</v>
      </c>
      <c r="B76" s="518">
        <f>B67+B72+B74</f>
        <v>10300.656233059999</v>
      </c>
      <c r="C76" s="519">
        <f>C67+C72+C74</f>
        <v>4836.403215620721</v>
      </c>
      <c r="D76" s="520">
        <f>D67+D72+D74</f>
        <v>4907.854902222827</v>
      </c>
      <c r="E76" s="521">
        <f>E67+E72+E74</f>
        <v>7562.017677514004</v>
      </c>
      <c r="F76" s="522">
        <f>F67+F72+F74</f>
        <v>3668.25334977055</v>
      </c>
    </row>
    <row r="77" spans="1:6" ht="12.75">
      <c r="A77" s="1214" t="s">
        <v>518</v>
      </c>
      <c r="B77" s="507"/>
      <c r="C77" s="507"/>
      <c r="D77" s="507"/>
      <c r="E77" s="507"/>
      <c r="F77" s="507"/>
    </row>
    <row r="78" spans="1:6" ht="12.75">
      <c r="A78" s="545" t="s">
        <v>517</v>
      </c>
      <c r="B78" s="507"/>
      <c r="C78" s="507"/>
      <c r="D78" s="507"/>
      <c r="E78" s="507"/>
      <c r="F78" s="507"/>
    </row>
    <row r="79" spans="1:6" ht="7.5" customHeight="1">
      <c r="A79" s="82"/>
      <c r="B79" s="523"/>
      <c r="C79" s="523"/>
      <c r="D79" s="523"/>
      <c r="E79" s="523"/>
      <c r="F79" s="523"/>
    </row>
    <row r="80" spans="1:6" ht="18.75" thickBot="1">
      <c r="A80" s="357" t="s">
        <v>504</v>
      </c>
      <c r="B80" s="432"/>
      <c r="C80" s="432"/>
      <c r="D80" s="432"/>
      <c r="E80" s="432"/>
      <c r="F80" s="432"/>
    </row>
    <row r="81" spans="1:6" ht="13.5" thickBot="1">
      <c r="A81" s="1004" t="s">
        <v>236</v>
      </c>
      <c r="B81" s="1005">
        <f>výchozí_rok+4</f>
        <v>2001</v>
      </c>
      <c r="C81" s="1006">
        <f>B81+1</f>
        <v>2002</v>
      </c>
      <c r="D81" s="1007">
        <f>C81+1</f>
        <v>2003</v>
      </c>
      <c r="E81" s="1007">
        <f>D81+1</f>
        <v>2004</v>
      </c>
      <c r="F81" s="1008">
        <f>E81+1</f>
        <v>2005</v>
      </c>
    </row>
    <row r="82" spans="1:6" ht="12.75">
      <c r="A82" s="34" t="s">
        <v>130</v>
      </c>
      <c r="B82" s="371">
        <f>SUM(B83:B85)</f>
        <v>-31510</v>
      </c>
      <c r="C82" s="372">
        <f>SUM(C83:C85)</f>
        <v>0</v>
      </c>
      <c r="D82" s="373">
        <f>SUM(D83:D85)</f>
        <v>0</v>
      </c>
      <c r="E82" s="374">
        <f>SUM(E83:E85)</f>
        <v>0</v>
      </c>
      <c r="F82" s="375">
        <f>SUM(F83:F85)</f>
        <v>0</v>
      </c>
    </row>
    <row r="83" spans="1:6" ht="12.75">
      <c r="A83" s="35" t="s">
        <v>505</v>
      </c>
      <c r="B83" s="376">
        <f>'10 Cash flow'!F25</f>
        <v>-26040</v>
      </c>
      <c r="C83" s="377">
        <v>0</v>
      </c>
      <c r="D83" s="378">
        <v>0</v>
      </c>
      <c r="E83" s="379">
        <v>0</v>
      </c>
      <c r="F83" s="380">
        <v>0</v>
      </c>
    </row>
    <row r="84" spans="1:6" ht="12.75">
      <c r="A84" s="35" t="s">
        <v>465</v>
      </c>
      <c r="B84" s="376">
        <f>'10 Cash flow'!F26</f>
        <v>2490</v>
      </c>
      <c r="C84" s="377">
        <v>0</v>
      </c>
      <c r="D84" s="378">
        <v>0</v>
      </c>
      <c r="E84" s="379">
        <v>0</v>
      </c>
      <c r="F84" s="380">
        <v>0</v>
      </c>
    </row>
    <row r="85" spans="1:6" ht="12.75">
      <c r="A85" s="58" t="s">
        <v>142</v>
      </c>
      <c r="B85" s="386">
        <f>'10 Cash flow'!F27</f>
        <v>-7960</v>
      </c>
      <c r="C85" s="387">
        <v>0</v>
      </c>
      <c r="D85" s="388">
        <v>0</v>
      </c>
      <c r="E85" s="389">
        <v>0</v>
      </c>
      <c r="F85" s="390">
        <v>0</v>
      </c>
    </row>
    <row r="86" spans="1:6" ht="12.75">
      <c r="A86" s="34" t="s">
        <v>474</v>
      </c>
      <c r="B86" s="371">
        <f>SUM(B87:B88)</f>
        <v>-27000</v>
      </c>
      <c r="C86" s="372">
        <f>SUM(C87:C88)</f>
        <v>-17476</v>
      </c>
      <c r="D86" s="373">
        <f>SUM(D87:D88)</f>
        <v>-17743</v>
      </c>
      <c r="E86" s="374">
        <f>SUM(E87:E88)</f>
        <v>-31762</v>
      </c>
      <c r="F86" s="375">
        <f>SUM(F87:F88)</f>
        <v>-34993</v>
      </c>
    </row>
    <row r="87" spans="1:6" ht="12.75">
      <c r="A87" s="35" t="s">
        <v>136</v>
      </c>
      <c r="B87" s="376">
        <f>'10 Cash flow'!F29</f>
        <v>0</v>
      </c>
      <c r="C87" s="377">
        <v>0</v>
      </c>
      <c r="D87" s="378">
        <v>0</v>
      </c>
      <c r="E87" s="379">
        <v>0</v>
      </c>
      <c r="F87" s="380">
        <v>0</v>
      </c>
    </row>
    <row r="88" spans="1:6" ht="12.75">
      <c r="A88" s="35" t="s">
        <v>468</v>
      </c>
      <c r="B88" s="405">
        <f>'10 Cash flow'!F30</f>
        <v>-27000</v>
      </c>
      <c r="C88" s="406">
        <f>-ROUND(C36/2,0)</f>
        <v>-17476</v>
      </c>
      <c r="D88" s="434">
        <f>-ROUND(D36/2,0)</f>
        <v>-17743</v>
      </c>
      <c r="E88" s="407">
        <f>-ROUND(E36*3/4,0)</f>
        <v>-31762</v>
      </c>
      <c r="F88" s="408">
        <f>-ROUND(F36*3/4,0)</f>
        <v>-34993</v>
      </c>
    </row>
    <row r="89" spans="1:7" ht="13.5" thickBot="1">
      <c r="A89" s="492" t="s">
        <v>506</v>
      </c>
      <c r="B89" s="518">
        <f>B82+B86</f>
        <v>-58510</v>
      </c>
      <c r="C89" s="519">
        <f>C82+C86</f>
        <v>-17476</v>
      </c>
      <c r="D89" s="520">
        <f>D82+D86</f>
        <v>-17743</v>
      </c>
      <c r="E89" s="521">
        <f>E82+E86</f>
        <v>-31762</v>
      </c>
      <c r="F89" s="522">
        <f>F82+F86</f>
        <v>-34993</v>
      </c>
      <c r="G89" s="425"/>
    </row>
    <row r="90" spans="1:7" ht="7.5" customHeight="1">
      <c r="A90" s="355"/>
      <c r="B90" s="524"/>
      <c r="C90" s="524"/>
      <c r="D90" s="524"/>
      <c r="E90" s="524"/>
      <c r="F90" s="524"/>
      <c r="G90" s="425"/>
    </row>
    <row r="91" spans="1:6" ht="18.75" thickBot="1">
      <c r="A91" s="357" t="s">
        <v>507</v>
      </c>
      <c r="B91" s="432"/>
      <c r="C91" s="432"/>
      <c r="D91" s="432"/>
      <c r="E91" s="432"/>
      <c r="F91" s="432"/>
    </row>
    <row r="92" spans="1:6" ht="13.5" thickBot="1">
      <c r="A92" s="1004" t="s">
        <v>236</v>
      </c>
      <c r="B92" s="1005">
        <f>výchozí_rok+4</f>
        <v>2001</v>
      </c>
      <c r="C92" s="1006">
        <f>B92+1</f>
        <v>2002</v>
      </c>
      <c r="D92" s="1007">
        <f>C92+1</f>
        <v>2003</v>
      </c>
      <c r="E92" s="1007">
        <f>D92+1</f>
        <v>2004</v>
      </c>
      <c r="F92" s="1008">
        <f>E92+1</f>
        <v>2005</v>
      </c>
    </row>
    <row r="93" spans="1:6" ht="13.5" thickBot="1">
      <c r="A93" s="33" t="s">
        <v>138</v>
      </c>
      <c r="B93" s="376">
        <f>B59+B63+B76+B89</f>
        <v>840.4362330599979</v>
      </c>
      <c r="C93" s="435">
        <f>C59+C63+C76+C89</f>
        <v>6903.544599237179</v>
      </c>
      <c r="D93" s="378">
        <f>D59+D63+D76+D89</f>
        <v>21465.002443592282</v>
      </c>
      <c r="E93" s="379">
        <f>E59+E63+E76+E89</f>
        <v>13356.103599666232</v>
      </c>
      <c r="F93" s="380">
        <f>F59+F63+F76+F89</f>
        <v>3394.409601896514</v>
      </c>
    </row>
    <row r="94" spans="1:6" ht="13.5" thickBot="1">
      <c r="A94" s="204" t="s">
        <v>139</v>
      </c>
      <c r="B94" s="426">
        <f>B40+B93</f>
        <v>21977.24788605995</v>
      </c>
      <c r="C94" s="436">
        <f>C40+C93</f>
        <v>28880.79248529713</v>
      </c>
      <c r="D94" s="428">
        <f>D40+D93</f>
        <v>50345.794928889416</v>
      </c>
      <c r="E94" s="429">
        <f>E40+E93</f>
        <v>63701.89852855565</v>
      </c>
      <c r="F94" s="430">
        <f>F40+F93</f>
        <v>67096.30813045216</v>
      </c>
    </row>
    <row r="95" spans="2:6" ht="39.75" customHeight="1">
      <c r="B95" s="425"/>
      <c r="C95" s="425"/>
      <c r="D95" s="425"/>
      <c r="E95" s="425"/>
      <c r="F95" s="425"/>
    </row>
    <row r="96" spans="1:6" ht="21" thickBot="1">
      <c r="A96" s="198" t="s">
        <v>524</v>
      </c>
      <c r="B96" s="425"/>
      <c r="C96" s="425"/>
      <c r="D96" s="425"/>
      <c r="E96" s="425"/>
      <c r="F96" s="425"/>
    </row>
    <row r="97" spans="1:6" ht="13.5" thickBot="1">
      <c r="A97" s="1004" t="s">
        <v>313</v>
      </c>
      <c r="B97" s="1005">
        <f>výchozí_rok+4</f>
        <v>2001</v>
      </c>
      <c r="C97" s="1006">
        <f>B97+1</f>
        <v>2002</v>
      </c>
      <c r="D97" s="1007">
        <f>C97+1</f>
        <v>2003</v>
      </c>
      <c r="E97" s="1007">
        <f>D97+1</f>
        <v>2004</v>
      </c>
      <c r="F97" s="1008">
        <f>E97+1</f>
        <v>2005</v>
      </c>
    </row>
    <row r="98" spans="1:6" ht="13.5" thickBot="1">
      <c r="A98" s="43" t="s">
        <v>0</v>
      </c>
      <c r="B98" s="437">
        <f>B99+B110+B119</f>
        <v>618251.2478860599</v>
      </c>
      <c r="C98" s="438">
        <f>C99+C110+C119</f>
        <v>651666.5037236533</v>
      </c>
      <c r="D98" s="439">
        <f>D99+D110+D119</f>
        <v>679382.4940454483</v>
      </c>
      <c r="E98" s="439">
        <f>E99+E110+E119</f>
        <v>703229.7293588935</v>
      </c>
      <c r="F98" s="440">
        <f>F99+F110+F119</f>
        <v>726900.4564331372</v>
      </c>
    </row>
    <row r="99" spans="1:6" ht="12.75">
      <c r="A99" s="33" t="s">
        <v>444</v>
      </c>
      <c r="B99" s="441">
        <f>B100+B101+B105</f>
        <v>389694</v>
      </c>
      <c r="C99" s="442">
        <f>C100+C101+C105</f>
        <v>388544.65</v>
      </c>
      <c r="D99" s="443">
        <f>D100+D101+D105</f>
        <v>384438.95</v>
      </c>
      <c r="E99" s="443">
        <f>E100+E101+E105</f>
        <v>385470.9</v>
      </c>
      <c r="F99" s="444">
        <f>F100+F101+F105</f>
        <v>393498.5</v>
      </c>
    </row>
    <row r="100" spans="1:6" ht="12.75">
      <c r="A100" s="55" t="s">
        <v>4</v>
      </c>
      <c r="B100" s="445">
        <f>'8 Rozvaha'!G7</f>
        <v>1164</v>
      </c>
      <c r="C100" s="446">
        <f>'16 Generátory'!C137</f>
        <v>1192.25</v>
      </c>
      <c r="D100" s="447">
        <f>'16 Generátory'!D137</f>
        <v>1968.75</v>
      </c>
      <c r="E100" s="447">
        <f>'16 Generátory'!E137</f>
        <v>2362.5</v>
      </c>
      <c r="F100" s="448">
        <f>'16 Generátory'!F137</f>
        <v>2362.5</v>
      </c>
    </row>
    <row r="101" spans="1:6" ht="12.75">
      <c r="A101" s="34" t="s">
        <v>6</v>
      </c>
      <c r="B101" s="420">
        <f>SUM(B102:B104)</f>
        <v>380024</v>
      </c>
      <c r="C101" s="442">
        <f>SUM(C102:C104)</f>
        <v>380446.4</v>
      </c>
      <c r="D101" s="443">
        <f>SUM(D102:D104)</f>
        <v>377164.2</v>
      </c>
      <c r="E101" s="443">
        <f>SUM(E102:E104)</f>
        <v>381834.4</v>
      </c>
      <c r="F101" s="444">
        <f>SUM(F102:F104)</f>
        <v>389862</v>
      </c>
    </row>
    <row r="102" spans="1:6" ht="12.75">
      <c r="A102" s="35" t="s">
        <v>8</v>
      </c>
      <c r="B102" s="405">
        <f>'8 Rozvaha'!G9</f>
        <v>14524</v>
      </c>
      <c r="C102" s="449">
        <f>'16 Generátory'!C155</f>
        <v>14524</v>
      </c>
      <c r="D102" s="450">
        <f>'16 Generátory'!D155</f>
        <v>14524</v>
      </c>
      <c r="E102" s="450">
        <f>'16 Generátory'!E155</f>
        <v>14524</v>
      </c>
      <c r="F102" s="451">
        <f>'16 Generátory'!F155</f>
        <v>14524</v>
      </c>
    </row>
    <row r="103" spans="1:6" ht="12.75">
      <c r="A103" s="35" t="s">
        <v>10</v>
      </c>
      <c r="B103" s="405">
        <f>'8 Rozvaha'!G10</f>
        <v>321000</v>
      </c>
      <c r="C103" s="449">
        <f>'16 Generátory'!C145</f>
        <v>324976.4</v>
      </c>
      <c r="D103" s="450">
        <f>'16 Generátory'!D145</f>
        <v>328281.2</v>
      </c>
      <c r="E103" s="450">
        <f>'16 Generátory'!E145</f>
        <v>330914.4</v>
      </c>
      <c r="F103" s="451">
        <f>'16 Generátory'!F145</f>
        <v>332876</v>
      </c>
    </row>
    <row r="104" spans="1:6" ht="12.75">
      <c r="A104" s="58" t="s">
        <v>202</v>
      </c>
      <c r="B104" s="413">
        <f>'8 Rozvaha'!G11</f>
        <v>44500</v>
      </c>
      <c r="C104" s="452">
        <f>'16 Generátory'!C153</f>
        <v>40946</v>
      </c>
      <c r="D104" s="453">
        <f>'16 Generátory'!D153</f>
        <v>34359</v>
      </c>
      <c r="E104" s="453">
        <f>'16 Generátory'!E153</f>
        <v>36396</v>
      </c>
      <c r="F104" s="454">
        <f>'16 Generátory'!F153</f>
        <v>42462</v>
      </c>
    </row>
    <row r="105" spans="1:6" ht="12.75">
      <c r="A105" s="34" t="s">
        <v>14</v>
      </c>
      <c r="B105" s="420">
        <f>B106+B108+B109</f>
        <v>8506</v>
      </c>
      <c r="C105" s="442">
        <f>C106+C108+C109</f>
        <v>6906</v>
      </c>
      <c r="D105" s="443">
        <f>D106+D108+D109</f>
        <v>5306</v>
      </c>
      <c r="E105" s="443">
        <f>E106+E108+E109</f>
        <v>1274</v>
      </c>
      <c r="F105" s="444">
        <f>F106+F108+F109</f>
        <v>1274</v>
      </c>
    </row>
    <row r="106" spans="1:6" ht="12.75">
      <c r="A106" s="35" t="s">
        <v>475</v>
      </c>
      <c r="B106" s="577">
        <v>0</v>
      </c>
      <c r="C106" s="578">
        <v>0</v>
      </c>
      <c r="D106" s="579">
        <v>0</v>
      </c>
      <c r="E106" s="579">
        <v>0</v>
      </c>
      <c r="F106" s="580">
        <v>0</v>
      </c>
    </row>
    <row r="107" spans="1:6" ht="12.75">
      <c r="A107" s="351" t="s">
        <v>476</v>
      </c>
      <c r="B107" s="455"/>
      <c r="C107" s="456"/>
      <c r="D107" s="457"/>
      <c r="E107" s="457"/>
      <c r="F107" s="458"/>
    </row>
    <row r="108" spans="1:6" ht="12.75">
      <c r="A108" s="351" t="s">
        <v>480</v>
      </c>
      <c r="B108" s="459">
        <f>'8 Rozvaha'!G13</f>
        <v>1274</v>
      </c>
      <c r="C108" s="460">
        <f>B108</f>
        <v>1274</v>
      </c>
      <c r="D108" s="461">
        <f>C108</f>
        <v>1274</v>
      </c>
      <c r="E108" s="461">
        <f>D108</f>
        <v>1274</v>
      </c>
      <c r="F108" s="462">
        <f>E108</f>
        <v>1274</v>
      </c>
    </row>
    <row r="109" spans="1:6" ht="13.5" thickBot="1">
      <c r="A109" s="352" t="s">
        <v>481</v>
      </c>
      <c r="B109" s="463">
        <f>'8 Rozvaha'!G14</f>
        <v>7232</v>
      </c>
      <c r="C109" s="464">
        <f>B109-SUM('25 Pohledávka'!D7:D10)</f>
        <v>5632</v>
      </c>
      <c r="D109" s="465">
        <f>C109-SUM('25 Pohledávka'!D11:D14)</f>
        <v>4032</v>
      </c>
      <c r="E109" s="465">
        <f>D109-'25 Pohledávka'!D19</f>
        <v>0</v>
      </c>
      <c r="F109" s="466">
        <v>0</v>
      </c>
    </row>
    <row r="110" spans="1:6" ht="12.75">
      <c r="A110" s="54" t="s">
        <v>20</v>
      </c>
      <c r="B110" s="467">
        <f>B111+B114+B116</f>
        <v>214671.24788605995</v>
      </c>
      <c r="C110" s="468">
        <f>C111+C114+C116</f>
        <v>249235.8537236533</v>
      </c>
      <c r="D110" s="469">
        <f>D111+D114+D116</f>
        <v>281057.5440454483</v>
      </c>
      <c r="E110" s="469">
        <f>E111+E114+E116</f>
        <v>303872.82935889345</v>
      </c>
      <c r="F110" s="470">
        <f>F111+F114+F116</f>
        <v>319515.9564331372</v>
      </c>
    </row>
    <row r="111" spans="1:6" ht="12.75">
      <c r="A111" s="34" t="s">
        <v>22</v>
      </c>
      <c r="B111" s="420">
        <f>B112+B113</f>
        <v>133568</v>
      </c>
      <c r="C111" s="442">
        <f>C112+C113</f>
        <v>155064.67272328766</v>
      </c>
      <c r="D111" s="443">
        <f>D112+D113</f>
        <v>162352.71234128217</v>
      </c>
      <c r="E111" s="443">
        <f>E112+E113</f>
        <v>169009.17354727475</v>
      </c>
      <c r="F111" s="444">
        <f>F112+F113</f>
        <v>177628.64139818575</v>
      </c>
    </row>
    <row r="112" spans="1:6" ht="12.75">
      <c r="A112" s="35" t="s">
        <v>24</v>
      </c>
      <c r="B112" s="405">
        <f>'8 Rozvaha'!G17</f>
        <v>1290</v>
      </c>
      <c r="C112" s="449">
        <f>'16 Generátory'!G41*'16 Generátory'!G$7/365</f>
        <v>2720.4328547945206</v>
      </c>
      <c r="D112" s="450">
        <f>'16 Generátory'!H41*'16 Generátory'!H$7/365</f>
        <v>2848.2931989698627</v>
      </c>
      <c r="E112" s="450">
        <f>'16 Generátory'!I41*'16 Generátory'!I$7/365</f>
        <v>2965.073220127627</v>
      </c>
      <c r="F112" s="451">
        <f>'16 Generátory'!J41*'16 Generátory'!J$7/365</f>
        <v>3116.2919543541357</v>
      </c>
    </row>
    <row r="113" spans="1:6" ht="12.75">
      <c r="A113" s="58" t="s">
        <v>26</v>
      </c>
      <c r="B113" s="413">
        <f>'8 Rozvaha'!G18</f>
        <v>132278</v>
      </c>
      <c r="C113" s="452">
        <f>'16 Generátory'!G42*'16 Generátory'!G$7/365</f>
        <v>152344.23986849314</v>
      </c>
      <c r="D113" s="453">
        <f>'16 Generátory'!H42*'16 Generátory'!H$7/365</f>
        <v>159504.4191423123</v>
      </c>
      <c r="E113" s="453">
        <f>'16 Generátory'!I42*'16 Generátory'!I$7/365</f>
        <v>166044.1003271471</v>
      </c>
      <c r="F113" s="454">
        <f>'16 Generátory'!J42*'16 Generátory'!J$7/365</f>
        <v>174512.3494438316</v>
      </c>
    </row>
    <row r="114" spans="1:6" ht="12.75">
      <c r="A114" s="34" t="s">
        <v>30</v>
      </c>
      <c r="B114" s="420">
        <f>SUM(B115:B115)</f>
        <v>59126</v>
      </c>
      <c r="C114" s="442">
        <f>SUM(C115:C115)</f>
        <v>65290.3885150685</v>
      </c>
      <c r="D114" s="443">
        <f>SUM(D115:D115)</f>
        <v>68359.0367752767</v>
      </c>
      <c r="E114" s="443">
        <f>SUM(E115:E115)</f>
        <v>71161.75728306305</v>
      </c>
      <c r="F114" s="444">
        <f>SUM(F115:F115)</f>
        <v>74791.00690449926</v>
      </c>
    </row>
    <row r="115" spans="1:6" ht="12.75">
      <c r="A115" s="58" t="s">
        <v>445</v>
      </c>
      <c r="B115" s="413">
        <f>'8 Rozvaha'!G21</f>
        <v>59126</v>
      </c>
      <c r="C115" s="452">
        <f>'16 Generátory'!G61</f>
        <v>65290.3885150685</v>
      </c>
      <c r="D115" s="453">
        <f>'16 Generátory'!H61</f>
        <v>68359.0367752767</v>
      </c>
      <c r="E115" s="453">
        <f>'16 Generátory'!I61</f>
        <v>71161.75728306305</v>
      </c>
      <c r="F115" s="454">
        <f>'16 Generátory'!J61</f>
        <v>74791.00690449926</v>
      </c>
    </row>
    <row r="116" spans="1:6" ht="12.75">
      <c r="A116" s="34" t="s">
        <v>479</v>
      </c>
      <c r="B116" s="420">
        <f>B94</f>
        <v>21977.24788605995</v>
      </c>
      <c r="C116" s="442">
        <f>C94</f>
        <v>28880.79248529713</v>
      </c>
      <c r="D116" s="443">
        <f>D94</f>
        <v>50345.794928889416</v>
      </c>
      <c r="E116" s="443">
        <f>E94</f>
        <v>63701.89852855565</v>
      </c>
      <c r="F116" s="444">
        <f>F94</f>
        <v>67096.30813045216</v>
      </c>
    </row>
    <row r="117" spans="1:6" ht="12.75">
      <c r="A117" s="35" t="s">
        <v>478</v>
      </c>
      <c r="B117" s="577">
        <f>'16 Generátory'!F62</f>
        <v>21977.24788605995</v>
      </c>
      <c r="C117" s="578">
        <f>'16 Generátory'!G62</f>
        <v>27585.189147616442</v>
      </c>
      <c r="D117" s="579">
        <f>'16 Generátory'!H62</f>
        <v>33325.03042794739</v>
      </c>
      <c r="E117" s="579">
        <f>'16 Generátory'!I62</f>
        <v>35314.022051720036</v>
      </c>
      <c r="F117" s="580">
        <f>'16 Generátory'!J62</f>
        <v>37115.03717635774</v>
      </c>
    </row>
    <row r="118" spans="1:6" ht="13.5" thickBot="1">
      <c r="A118" s="351" t="s">
        <v>477</v>
      </c>
      <c r="B118" s="455">
        <f>B116-B117</f>
        <v>0</v>
      </c>
      <c r="C118" s="456">
        <f>C116-C117</f>
        <v>1295.6033376806881</v>
      </c>
      <c r="D118" s="457">
        <f>D116-D117</f>
        <v>17020.764500942023</v>
      </c>
      <c r="E118" s="457">
        <f>E116-E117</f>
        <v>28387.876476835612</v>
      </c>
      <c r="F118" s="458">
        <f>F116-F117</f>
        <v>29981.27095409442</v>
      </c>
    </row>
    <row r="119" spans="1:6" ht="13.5" thickBot="1">
      <c r="A119" s="43" t="s">
        <v>36</v>
      </c>
      <c r="B119" s="471">
        <f>'8 Rozvaha'!G25</f>
        <v>13886</v>
      </c>
      <c r="C119" s="417">
        <f>B119</f>
        <v>13886</v>
      </c>
      <c r="D119" s="418">
        <f>C119</f>
        <v>13886</v>
      </c>
      <c r="E119" s="418">
        <f>D119</f>
        <v>13886</v>
      </c>
      <c r="F119" s="419">
        <f>E119</f>
        <v>13886</v>
      </c>
    </row>
    <row r="120" spans="1:6" ht="13.5" thickBot="1">
      <c r="A120" s="82"/>
      <c r="B120" s="472"/>
      <c r="C120" s="473"/>
      <c r="D120" s="473"/>
      <c r="E120" s="473"/>
      <c r="F120" s="473"/>
    </row>
    <row r="121" spans="1:6" ht="13.5" thickBot="1">
      <c r="A121" s="1004" t="s">
        <v>314</v>
      </c>
      <c r="B121" s="1005">
        <f>výchozí_rok+4</f>
        <v>2001</v>
      </c>
      <c r="C121" s="1006">
        <f>B121+1</f>
        <v>2002</v>
      </c>
      <c r="D121" s="1007">
        <f>C121+1</f>
        <v>2003</v>
      </c>
      <c r="E121" s="1007">
        <f>D121+1</f>
        <v>2004</v>
      </c>
      <c r="F121" s="1008">
        <f>E121+1</f>
        <v>2005</v>
      </c>
    </row>
    <row r="122" spans="1:6" ht="13.5" thickBot="1">
      <c r="A122" s="43" t="s">
        <v>37</v>
      </c>
      <c r="B122" s="424">
        <f>B123+B130+B142</f>
        <v>618251.24788606</v>
      </c>
      <c r="C122" s="438">
        <f>C123+C130+C142</f>
        <v>651666.5037236534</v>
      </c>
      <c r="D122" s="474">
        <f>D123+D130+D142</f>
        <v>679382.4940454483</v>
      </c>
      <c r="E122" s="439">
        <f>E123+E130+E142</f>
        <v>703229.7293588934</v>
      </c>
      <c r="F122" s="440">
        <f>F123+F130+F142</f>
        <v>726900.4564331372</v>
      </c>
    </row>
    <row r="123" spans="1:6" ht="12.75">
      <c r="A123" s="54" t="s">
        <v>38</v>
      </c>
      <c r="B123" s="467">
        <f>B124+B125+B126+B128+B129</f>
        <v>285865.24788606004</v>
      </c>
      <c r="C123" s="468">
        <f>C124+C125+C126+C128+C129</f>
        <v>303340.74104968074</v>
      </c>
      <c r="D123" s="475">
        <f>D124+D125+D126+D128+D129</f>
        <v>321083.624525799</v>
      </c>
      <c r="E123" s="469">
        <f>E124+E125+E126+E128+E129</f>
        <v>331670.9156807599</v>
      </c>
      <c r="F123" s="470">
        <f>F124+F125+F126+F128+F129</f>
        <v>343334.87525741884</v>
      </c>
    </row>
    <row r="124" spans="1:6" ht="12.75">
      <c r="A124" s="55" t="s">
        <v>40</v>
      </c>
      <c r="B124" s="476">
        <f>'8 Rozvaha'!G29</f>
        <v>150000</v>
      </c>
      <c r="C124" s="581">
        <f aca="true" t="shared" si="1" ref="C124:F125">B124</f>
        <v>150000</v>
      </c>
      <c r="D124" s="582">
        <f t="shared" si="1"/>
        <v>150000</v>
      </c>
      <c r="E124" s="583">
        <f t="shared" si="1"/>
        <v>150000</v>
      </c>
      <c r="F124" s="584">
        <f t="shared" si="1"/>
        <v>150000</v>
      </c>
    </row>
    <row r="125" spans="1:6" ht="12.75">
      <c r="A125" s="55" t="s">
        <v>42</v>
      </c>
      <c r="B125" s="476">
        <f>'8 Rozvaha'!G30</f>
        <v>11610</v>
      </c>
      <c r="C125" s="581">
        <f t="shared" si="1"/>
        <v>11610</v>
      </c>
      <c r="D125" s="582">
        <f t="shared" si="1"/>
        <v>11610</v>
      </c>
      <c r="E125" s="583">
        <f t="shared" si="1"/>
        <v>11610</v>
      </c>
      <c r="F125" s="584">
        <f t="shared" si="1"/>
        <v>11610</v>
      </c>
    </row>
    <row r="126" spans="1:6" ht="12.75">
      <c r="A126" s="34" t="s">
        <v>44</v>
      </c>
      <c r="B126" s="420">
        <f>B127</f>
        <v>30000</v>
      </c>
      <c r="C126" s="442">
        <f>C127</f>
        <v>30000</v>
      </c>
      <c r="D126" s="477">
        <f>D127</f>
        <v>30000</v>
      </c>
      <c r="E126" s="443">
        <f>E127</f>
        <v>30000</v>
      </c>
      <c r="F126" s="444">
        <f>F127</f>
        <v>30000</v>
      </c>
    </row>
    <row r="127" spans="1:6" ht="12.75">
      <c r="A127" s="58" t="s">
        <v>46</v>
      </c>
      <c r="B127" s="413">
        <f>'8 Rozvaha'!G32</f>
        <v>30000</v>
      </c>
      <c r="C127" s="452">
        <f>B127</f>
        <v>30000</v>
      </c>
      <c r="D127" s="478">
        <f>C127</f>
        <v>30000</v>
      </c>
      <c r="E127" s="453">
        <f>D127</f>
        <v>30000</v>
      </c>
      <c r="F127" s="454">
        <f>E127</f>
        <v>30000</v>
      </c>
    </row>
    <row r="128" spans="1:6" ht="12.75">
      <c r="A128" s="34" t="s">
        <v>48</v>
      </c>
      <c r="B128" s="420">
        <f>'8 Rozvaha'!G33</f>
        <v>56004.811653</v>
      </c>
      <c r="C128" s="585">
        <f>B128+B129+C88</f>
        <v>76779.24788606</v>
      </c>
      <c r="D128" s="586">
        <f>C128+C129+D88</f>
        <v>93987.74104968074</v>
      </c>
      <c r="E128" s="587">
        <f>D128+D129+E88</f>
        <v>97711.62452579902</v>
      </c>
      <c r="F128" s="588">
        <f>E128+E129+F88</f>
        <v>105067.91568075988</v>
      </c>
    </row>
    <row r="129" spans="1:6" ht="13.5" thickBot="1">
      <c r="A129" s="47" t="s">
        <v>454</v>
      </c>
      <c r="B129" s="480">
        <f>B36</f>
        <v>38250.43623306</v>
      </c>
      <c r="C129" s="481">
        <f>C36</f>
        <v>34951.49316362074</v>
      </c>
      <c r="D129" s="482">
        <f>D36</f>
        <v>35485.88347611828</v>
      </c>
      <c r="E129" s="483">
        <f>E36</f>
        <v>42349.29115496087</v>
      </c>
      <c r="F129" s="484">
        <f>F36</f>
        <v>46656.95957665899</v>
      </c>
    </row>
    <row r="130" spans="1:6" ht="12.75">
      <c r="A130" s="54" t="s">
        <v>50</v>
      </c>
      <c r="B130" s="467">
        <f>B131+B132+B134+B139</f>
        <v>320470</v>
      </c>
      <c r="C130" s="468">
        <f>C131+C132+C134+C139</f>
        <v>336409.76267397264</v>
      </c>
      <c r="D130" s="475">
        <f>D131+D132+D134+D139</f>
        <v>346382.8695196493</v>
      </c>
      <c r="E130" s="469">
        <f>E131+E132+E134+E139</f>
        <v>359642.81367813353</v>
      </c>
      <c r="F130" s="470">
        <f>F131+F132+F134+F139</f>
        <v>371649.58117571834</v>
      </c>
    </row>
    <row r="131" spans="1:6" ht="12.75">
      <c r="A131" s="55" t="s">
        <v>51</v>
      </c>
      <c r="B131" s="476">
        <f>'8 Rozvaha'!G36</f>
        <v>5070</v>
      </c>
      <c r="C131" s="581">
        <f>B131</f>
        <v>5070</v>
      </c>
      <c r="D131" s="582">
        <f>C131</f>
        <v>5070</v>
      </c>
      <c r="E131" s="583">
        <f>D131</f>
        <v>5070</v>
      </c>
      <c r="F131" s="584">
        <f>E131</f>
        <v>5070</v>
      </c>
    </row>
    <row r="132" spans="1:6" ht="12.75">
      <c r="A132" s="34" t="s">
        <v>52</v>
      </c>
      <c r="B132" s="420">
        <f>SUM(B133:B133)</f>
        <v>12770</v>
      </c>
      <c r="C132" s="442">
        <f>SUM(C133:C133)</f>
        <v>12770</v>
      </c>
      <c r="D132" s="477">
        <f>SUM(D133:D133)</f>
        <v>12770</v>
      </c>
      <c r="E132" s="443">
        <f>SUM(E133:E133)</f>
        <v>12770</v>
      </c>
      <c r="F132" s="444">
        <f>SUM(F133:F133)</f>
        <v>12770</v>
      </c>
    </row>
    <row r="133" spans="1:6" ht="12.75">
      <c r="A133" s="58" t="s">
        <v>449</v>
      </c>
      <c r="B133" s="413">
        <f>'8 Rozvaha'!G38</f>
        <v>12770</v>
      </c>
      <c r="C133" s="452">
        <f>B133</f>
        <v>12770</v>
      </c>
      <c r="D133" s="478">
        <f>C133</f>
        <v>12770</v>
      </c>
      <c r="E133" s="453">
        <f>D133</f>
        <v>12770</v>
      </c>
      <c r="F133" s="454">
        <f>E133</f>
        <v>12770</v>
      </c>
    </row>
    <row r="134" spans="1:6" ht="12.75">
      <c r="A134" s="34" t="s">
        <v>53</v>
      </c>
      <c r="B134" s="420">
        <f>SUM(B135:B138)</f>
        <v>196254</v>
      </c>
      <c r="C134" s="442">
        <f>SUM(C135:C138)</f>
        <v>212193.7626739726</v>
      </c>
      <c r="D134" s="477">
        <f>SUM(D135:D138)</f>
        <v>222166.86951964928</v>
      </c>
      <c r="E134" s="443">
        <f>SUM(E135:E138)</f>
        <v>235426.81367813356</v>
      </c>
      <c r="F134" s="444">
        <f>SUM(F135:F138)</f>
        <v>247433.58117571837</v>
      </c>
    </row>
    <row r="135" spans="1:6" ht="12.75">
      <c r="A135" s="35" t="s">
        <v>450</v>
      </c>
      <c r="B135" s="405">
        <f>'8 Rozvaha'!G40</f>
        <v>145572</v>
      </c>
      <c r="C135" s="449">
        <f>'16 Generátory'!G47*'16 Generátory'!G$7/365</f>
        <v>152344.23986849314</v>
      </c>
      <c r="D135" s="479">
        <f>'16 Generátory'!H47*'16 Generátory'!H$7/365</f>
        <v>159504.4191423123</v>
      </c>
      <c r="E135" s="450">
        <f>'16 Generátory'!I47*'16 Generátory'!I$7/365</f>
        <v>166044.1003271471</v>
      </c>
      <c r="F135" s="451">
        <f>'16 Generátory'!J47*'16 Generátory'!J$7/365</f>
        <v>174512.3494438316</v>
      </c>
    </row>
    <row r="136" spans="1:6" ht="12.75">
      <c r="A136" s="35" t="s">
        <v>54</v>
      </c>
      <c r="B136" s="405">
        <f>'8 Rozvaha'!G41</f>
        <v>41678</v>
      </c>
      <c r="C136" s="449">
        <f>'16 Generátory'!G48*'16 Generátory'!G$7/365</f>
        <v>48967.791386301375</v>
      </c>
      <c r="D136" s="479">
        <f>'16 Generátory'!H48*'16 Generátory'!H$7/365</f>
        <v>51269.27758145753</v>
      </c>
      <c r="E136" s="450">
        <f>'16 Generátory'!I48*'16 Generátory'!I$7/365</f>
        <v>56336.391182424915</v>
      </c>
      <c r="F136" s="451">
        <f>'16 Generátory'!J48*'16 Generátory'!J$7/365</f>
        <v>59209.54713272858</v>
      </c>
    </row>
    <row r="137" spans="1:6" ht="12.75">
      <c r="A137" s="35" t="s">
        <v>455</v>
      </c>
      <c r="B137" s="405">
        <f>'8 Rozvaha'!G42</f>
        <v>3446</v>
      </c>
      <c r="C137" s="449">
        <f>'16 Generátory'!G49*'16 Generátory'!G$7/365</f>
        <v>4352.6925676712335</v>
      </c>
      <c r="D137" s="479">
        <f>'16 Generátory'!H49*'16 Generátory'!H$7/365</f>
        <v>4557.269118351781</v>
      </c>
      <c r="E137" s="450">
        <f>'16 Generátory'!I49*'16 Generátory'!I$7/365</f>
        <v>5337.131796229729</v>
      </c>
      <c r="F137" s="451">
        <f>'16 Generátory'!J49*'16 Generátory'!J$7/365</f>
        <v>5609.325517837444</v>
      </c>
    </row>
    <row r="138" spans="1:6" ht="12.75">
      <c r="A138" s="58" t="s">
        <v>55</v>
      </c>
      <c r="B138" s="413">
        <f>'8 Rozvaha'!G43</f>
        <v>5558</v>
      </c>
      <c r="C138" s="452">
        <f>'16 Generátory'!G50*'16 Generátory'!G$7/365</f>
        <v>6529.03885150685</v>
      </c>
      <c r="D138" s="478">
        <f>'16 Generátory'!H50*'16 Generátory'!H$7/365</f>
        <v>6835.90367752767</v>
      </c>
      <c r="E138" s="453">
        <f>'16 Generátory'!I50*'16 Generátory'!I$7/365</f>
        <v>7709.190372331831</v>
      </c>
      <c r="F138" s="454">
        <f>'16 Generátory'!J50*'16 Generátory'!J$7/365</f>
        <v>8102.359081320753</v>
      </c>
    </row>
    <row r="139" spans="1:6" ht="12.75">
      <c r="A139" s="34" t="s">
        <v>59</v>
      </c>
      <c r="B139" s="420">
        <f>B140+B141</f>
        <v>106376</v>
      </c>
      <c r="C139" s="442">
        <f>C140+C141</f>
        <v>106376</v>
      </c>
      <c r="D139" s="477">
        <f>D140+D141</f>
        <v>106376</v>
      </c>
      <c r="E139" s="443">
        <f>E140+E141</f>
        <v>106376</v>
      </c>
      <c r="F139" s="444">
        <f>F140+F141</f>
        <v>106376</v>
      </c>
    </row>
    <row r="140" spans="1:6" ht="12.75">
      <c r="A140" s="35" t="s">
        <v>61</v>
      </c>
      <c r="B140" s="405">
        <f>'8 Rozvaha'!G45</f>
        <v>69882</v>
      </c>
      <c r="C140" s="449">
        <f aca="true" t="shared" si="2" ref="C140:F142">B140</f>
        <v>69882</v>
      </c>
      <c r="D140" s="479">
        <f t="shared" si="2"/>
        <v>69882</v>
      </c>
      <c r="E140" s="450">
        <f t="shared" si="2"/>
        <v>69882</v>
      </c>
      <c r="F140" s="451">
        <f t="shared" si="2"/>
        <v>69882</v>
      </c>
    </row>
    <row r="141" spans="1:6" ht="13.5" thickBot="1">
      <c r="A141" s="51" t="s">
        <v>452</v>
      </c>
      <c r="B141" s="485">
        <f>'8 Rozvaha'!G46</f>
        <v>36494</v>
      </c>
      <c r="C141" s="486">
        <f t="shared" si="2"/>
        <v>36494</v>
      </c>
      <c r="D141" s="487">
        <f t="shared" si="2"/>
        <v>36494</v>
      </c>
      <c r="E141" s="488">
        <f t="shared" si="2"/>
        <v>36494</v>
      </c>
      <c r="F141" s="489">
        <f t="shared" si="2"/>
        <v>36494</v>
      </c>
    </row>
    <row r="142" spans="1:6" ht="13.5" thickBot="1">
      <c r="A142" s="36" t="s">
        <v>36</v>
      </c>
      <c r="B142" s="490">
        <f>'8 Rozvaha'!G47</f>
        <v>11916</v>
      </c>
      <c r="C142" s="481">
        <f t="shared" si="2"/>
        <v>11916</v>
      </c>
      <c r="D142" s="482">
        <f t="shared" si="2"/>
        <v>11916</v>
      </c>
      <c r="E142" s="483">
        <f t="shared" si="2"/>
        <v>11916</v>
      </c>
      <c r="F142" s="419">
        <f t="shared" si="2"/>
        <v>11916</v>
      </c>
    </row>
    <row r="143" spans="2:6" ht="12.75">
      <c r="B143" s="425"/>
      <c r="C143" s="425"/>
      <c r="D143" s="425"/>
      <c r="E143" s="425"/>
      <c r="F143" s="425"/>
    </row>
    <row r="144" spans="2:6" ht="16.5" customHeight="1">
      <c r="B144" s="425"/>
      <c r="C144" s="425"/>
      <c r="D144" s="425"/>
      <c r="E144" s="425"/>
      <c r="F144" s="425"/>
    </row>
    <row r="145" spans="1:6" ht="21" thickBot="1">
      <c r="A145" s="198" t="s">
        <v>302</v>
      </c>
      <c r="B145" s="425"/>
      <c r="C145" s="425"/>
      <c r="D145" s="425"/>
      <c r="E145" s="425"/>
      <c r="F145" s="425"/>
    </row>
    <row r="146" spans="1:6" ht="13.5" thickBot="1">
      <c r="A146" s="1004" t="s">
        <v>520</v>
      </c>
      <c r="B146" s="1005">
        <f>B9</f>
        <v>2001</v>
      </c>
      <c r="C146" s="1006">
        <f>C9</f>
        <v>2002</v>
      </c>
      <c r="D146" s="1007">
        <f>D9</f>
        <v>2003</v>
      </c>
      <c r="E146" s="1007">
        <f>E9</f>
        <v>2004</v>
      </c>
      <c r="F146" s="1008">
        <f>F9</f>
        <v>2005</v>
      </c>
    </row>
    <row r="147" spans="1:6" ht="13.5" thickBot="1">
      <c r="A147" s="554" t="s">
        <v>519</v>
      </c>
      <c r="B147" s="485">
        <f>B55+B63+B67</f>
        <v>67060.43623306</v>
      </c>
      <c r="C147" s="486">
        <f>C55+C63+C67</f>
        <v>62700.544599237175</v>
      </c>
      <c r="D147" s="487">
        <f>D55+D63+D67</f>
        <v>77529.00244359228</v>
      </c>
      <c r="E147" s="488">
        <f>E55+E63+E67</f>
        <v>81007.10359966622</v>
      </c>
      <c r="F147" s="489">
        <f>F55+F63+F67</f>
        <v>78308.4096018965</v>
      </c>
    </row>
    <row r="149" spans="1:6" ht="13.5" thickBot="1">
      <c r="A149" s="86" t="s">
        <v>208</v>
      </c>
      <c r="B149" s="491"/>
      <c r="C149" s="491"/>
      <c r="D149" s="491"/>
      <c r="E149" s="491"/>
      <c r="F149" s="491"/>
    </row>
    <row r="150" spans="1:6" ht="12.75">
      <c r="A150" s="210" t="s">
        <v>209</v>
      </c>
      <c r="B150" s="558">
        <f>B116/(B134+B141)</f>
        <v>0.09442507727696887</v>
      </c>
      <c r="C150" s="559">
        <f>C116/(C134+C141)</f>
        <v>0.1161327448313554</v>
      </c>
      <c r="D150" s="559">
        <f>D116/(D134+D141)</f>
        <v>0.19464016734492914</v>
      </c>
      <c r="E150" s="559">
        <f>E116/(E134+E141)</f>
        <v>0.23426635742550453</v>
      </c>
      <c r="F150" s="560">
        <f>F116/(F134+F141)</f>
        <v>0.23631486540551094</v>
      </c>
    </row>
    <row r="151" spans="1:6" ht="12.75">
      <c r="A151" s="206" t="s">
        <v>210</v>
      </c>
      <c r="B151" s="561">
        <f>(B114+B116)/(B134+B141)</f>
        <v>0.3484594835876568</v>
      </c>
      <c r="C151" s="562">
        <f>(C114+C116)/(C134+C141)</f>
        <v>0.37867235600097937</v>
      </c>
      <c r="D151" s="562">
        <f>(D114+D116)/(D134+D141)</f>
        <v>0.45892071701687626</v>
      </c>
      <c r="E151" s="562">
        <f>(E114+E116)/(E134+E141)</f>
        <v>0.49596665289202074</v>
      </c>
      <c r="F151" s="563">
        <f>(F114+F116)/(F134+F141)</f>
        <v>0.49973065120129906</v>
      </c>
    </row>
    <row r="152" spans="1:6" ht="13.5" thickBot="1">
      <c r="A152" s="94" t="s">
        <v>211</v>
      </c>
      <c r="B152" s="564">
        <f>B110/(B$134+B$141)</f>
        <v>0.922333372944386</v>
      </c>
      <c r="C152" s="565">
        <f>C110/(C$134+C$141)</f>
        <v>1.0022039325288363</v>
      </c>
      <c r="D152" s="565">
        <f>D110/(D$134+D$141)</f>
        <v>1.0865870224877507</v>
      </c>
      <c r="E152" s="565">
        <f>E110/(E$134+E$141)</f>
        <v>1.1175048546249968</v>
      </c>
      <c r="F152" s="566">
        <f>F110/(F$134+F$141)</f>
        <v>1.1253431424662959</v>
      </c>
    </row>
    <row r="153" spans="1:6" ht="12.75">
      <c r="A153" s="31"/>
      <c r="B153" s="491"/>
      <c r="C153" s="491"/>
      <c r="D153" s="491"/>
      <c r="E153" s="491"/>
      <c r="F153" s="491"/>
    </row>
    <row r="154" spans="1:6" ht="13.5" thickBot="1">
      <c r="A154" s="86" t="s">
        <v>215</v>
      </c>
      <c r="B154" s="491"/>
      <c r="C154" s="491"/>
      <c r="D154" s="491"/>
      <c r="E154" s="491"/>
      <c r="F154" s="491"/>
    </row>
    <row r="155" spans="1:6" ht="12.75">
      <c r="A155" s="210" t="s">
        <v>227</v>
      </c>
      <c r="B155" s="218">
        <f>B123/B122</f>
        <v>0.46237714661069845</v>
      </c>
      <c r="C155" s="216">
        <f>C123/C122</f>
        <v>0.46548462950969144</v>
      </c>
      <c r="D155" s="211">
        <f>D123/D122</f>
        <v>0.4726109773801732</v>
      </c>
      <c r="E155" s="211">
        <f>E123/E122</f>
        <v>0.47163949678738853</v>
      </c>
      <c r="F155" s="209">
        <f>F123/F122</f>
        <v>0.47232722475116506</v>
      </c>
    </row>
    <row r="156" spans="1:6" ht="12.75">
      <c r="A156" s="206" t="s">
        <v>217</v>
      </c>
      <c r="B156" s="546">
        <f>(B34+B23)/B23</f>
        <v>4.617443447781419</v>
      </c>
      <c r="C156" s="547">
        <f>(C34+C23)/C23</f>
        <v>6.296094599940293</v>
      </c>
      <c r="D156" s="548">
        <f>(D34+D23)/D23</f>
        <v>6.377069156163958</v>
      </c>
      <c r="E156" s="548">
        <f>(E34+E23)/E23</f>
        <v>7.417060671689283</v>
      </c>
      <c r="F156" s="549">
        <f>(F34+F23)/F23</f>
        <v>8.069788707075036</v>
      </c>
    </row>
    <row r="157" spans="1:6" ht="13.5" thickBot="1">
      <c r="A157" s="94" t="s">
        <v>315</v>
      </c>
      <c r="B157" s="550">
        <f>(B130-B131)/B147</f>
        <v>4.703220225169241</v>
      </c>
      <c r="C157" s="551">
        <f>(C130-C131)/C147</f>
        <v>5.284479820578843</v>
      </c>
      <c r="D157" s="552">
        <f>(D130-D131)/D147</f>
        <v>4.402389541487755</v>
      </c>
      <c r="E157" s="552">
        <f>(E130-E131)/E147</f>
        <v>4.377058281585005</v>
      </c>
      <c r="F157" s="553">
        <f>(F130-F131)/F147</f>
        <v>4.681228785507608</v>
      </c>
    </row>
    <row r="158" spans="1:6" ht="12.75">
      <c r="A158" s="31"/>
      <c r="B158" s="491"/>
      <c r="C158" s="491"/>
      <c r="D158" s="491"/>
      <c r="E158" s="491"/>
      <c r="F158" s="491"/>
    </row>
    <row r="159" ht="13.5" thickBot="1">
      <c r="A159" s="86" t="s">
        <v>205</v>
      </c>
    </row>
    <row r="160" spans="1:6" ht="12.75">
      <c r="A160" s="210" t="s">
        <v>238</v>
      </c>
      <c r="B160" s="218">
        <f>(B34+B23)/B122</f>
        <v>0.10482863796015203</v>
      </c>
      <c r="C160" s="216">
        <f>(C34+C23)/C122</f>
        <v>0.09240740098531657</v>
      </c>
      <c r="D160" s="211">
        <f>(D34+D23)/D122</f>
        <v>0.08977753646383366</v>
      </c>
      <c r="E160" s="211">
        <f>(E34+E23)/E122</f>
        <v>0.10087778050456628</v>
      </c>
      <c r="F160" s="209">
        <f>(F34+F23)/F122</f>
        <v>0.10618132278234102</v>
      </c>
    </row>
    <row r="161" spans="1:6" ht="12.75">
      <c r="A161" s="169" t="s">
        <v>206</v>
      </c>
      <c r="B161" s="219">
        <f>B36/B123</f>
        <v>0.13380582815126177</v>
      </c>
      <c r="C161" s="193">
        <f>C36/C123</f>
        <v>0.11522188889851902</v>
      </c>
      <c r="D161" s="214">
        <f>D36/D123</f>
        <v>0.11051913198166541</v>
      </c>
      <c r="E161" s="214">
        <f>E36/E123</f>
        <v>0.127684669209051</v>
      </c>
      <c r="F161" s="215">
        <f>F36/F123</f>
        <v>0.13589344671635079</v>
      </c>
    </row>
    <row r="162" spans="1:6" ht="12.75">
      <c r="A162" s="206" t="s">
        <v>207</v>
      </c>
      <c r="B162" s="220">
        <f>B36/B10</f>
        <v>0.020185374152387546</v>
      </c>
      <c r="C162" s="192">
        <f>C36/C10</f>
        <v>0.017599683695189362</v>
      </c>
      <c r="D162" s="212">
        <f>D36/D10</f>
        <v>0.01706664162942733</v>
      </c>
      <c r="E162" s="212">
        <f>E36/E10</f>
        <v>0.01956536088745841</v>
      </c>
      <c r="F162" s="207">
        <f>F36/F10</f>
        <v>0.02050951714148478</v>
      </c>
    </row>
    <row r="163" spans="1:6" ht="12.75">
      <c r="A163" s="206" t="s">
        <v>223</v>
      </c>
      <c r="B163" s="220">
        <f>B19/B10</f>
        <v>0.0326983500425867</v>
      </c>
      <c r="C163" s="192">
        <f>C19/C10</f>
        <v>0.03012486413423219</v>
      </c>
      <c r="D163" s="212">
        <f>D19/D10</f>
        <v>0.02909523017352731</v>
      </c>
      <c r="E163" s="212">
        <f>E19/E10</f>
        <v>0.03239605246929163</v>
      </c>
      <c r="F163" s="207">
        <f>F19/F10</f>
        <v>0.03348026446782302</v>
      </c>
    </row>
    <row r="164" spans="1:6" ht="13.5" thickBot="1">
      <c r="A164" s="94" t="s">
        <v>226</v>
      </c>
      <c r="B164" s="221">
        <f>B147/B10</f>
        <v>0.03538887734348729</v>
      </c>
      <c r="C164" s="217">
        <f>C147/C10</f>
        <v>0.03157260684963457</v>
      </c>
      <c r="D164" s="213">
        <f>D147/D10</f>
        <v>0.03728693133657674</v>
      </c>
      <c r="E164" s="213">
        <f>E147/E10</f>
        <v>0.03742525962419891</v>
      </c>
      <c r="F164" s="208">
        <f>F147/F10</f>
        <v>0.034422896040057716</v>
      </c>
    </row>
    <row r="165" spans="2:6" ht="12.75">
      <c r="B165" s="425"/>
      <c r="C165" s="425"/>
      <c r="D165" s="425"/>
      <c r="E165" s="425"/>
      <c r="F165" s="425"/>
    </row>
    <row r="166" spans="1:6" ht="13.5" thickBot="1">
      <c r="A166" s="86" t="s">
        <v>212</v>
      </c>
      <c r="B166" s="491"/>
      <c r="C166" s="491"/>
      <c r="D166" s="491"/>
      <c r="E166" s="491"/>
      <c r="F166" s="491"/>
    </row>
    <row r="167" spans="1:6" ht="12.75">
      <c r="A167" s="210" t="s">
        <v>525</v>
      </c>
      <c r="B167" s="555">
        <f>B111/(B11/365)</f>
        <v>29.881240744917676</v>
      </c>
      <c r="C167" s="556">
        <f>C111/(C11/365)</f>
        <v>33.10104529616724</v>
      </c>
      <c r="D167" s="567">
        <f>D111/(D11/365)</f>
        <v>33.10104529616724</v>
      </c>
      <c r="E167" s="567">
        <f>E111/(E11/365)</f>
        <v>33.139534883720934</v>
      </c>
      <c r="F167" s="557">
        <f>F111/(F11/365)</f>
        <v>33.178114086146685</v>
      </c>
    </row>
    <row r="168" spans="1:6" ht="12.75">
      <c r="A168" s="206" t="s">
        <v>316</v>
      </c>
      <c r="B168" s="546">
        <f>B114/(B10/365)</f>
        <v>11.388637637351328</v>
      </c>
      <c r="C168" s="547">
        <f>C114/(C10/365)</f>
        <v>12.000000000000002</v>
      </c>
      <c r="D168" s="548">
        <f>D114/(D10/365)</f>
        <v>12</v>
      </c>
      <c r="E168" s="548">
        <f>E114/(E10/365)</f>
        <v>12.000000000000002</v>
      </c>
      <c r="F168" s="549">
        <f>F114/(F10/365)</f>
        <v>12</v>
      </c>
    </row>
    <row r="169" spans="1:6" ht="13.5" thickBot="1">
      <c r="A169" s="94" t="s">
        <v>317</v>
      </c>
      <c r="B169" s="550">
        <f>B135/((B11+B13)/365)</f>
        <v>31.955670600348583</v>
      </c>
      <c r="C169" s="551">
        <f>C135/((C11+C13)/365)</f>
        <v>31.908831908831903</v>
      </c>
      <c r="D169" s="552">
        <f>D135/((D11+D13)/365)</f>
        <v>31.90883190883191</v>
      </c>
      <c r="E169" s="552">
        <f>E135/((E11+E13)/365)</f>
        <v>31.927023945267962</v>
      </c>
      <c r="F169" s="553">
        <f>F135/((F11+F13)/365)</f>
        <v>31.94523673702225</v>
      </c>
    </row>
    <row r="170" spans="2:6" ht="12.75">
      <c r="B170" s="425"/>
      <c r="C170" s="425"/>
      <c r="D170" s="425"/>
      <c r="E170" s="425"/>
      <c r="F170" s="425"/>
    </row>
    <row r="171" spans="2:6" ht="12.75">
      <c r="B171" s="425"/>
      <c r="C171" s="425"/>
      <c r="D171" s="425"/>
      <c r="E171" s="425"/>
      <c r="F171" s="425"/>
    </row>
    <row r="172" spans="2:6" ht="12.75">
      <c r="B172" s="425"/>
      <c r="C172" s="425"/>
      <c r="D172" s="425"/>
      <c r="E172" s="425"/>
      <c r="F172" s="425"/>
    </row>
    <row r="173" spans="2:6" ht="12.75">
      <c r="B173" s="425"/>
      <c r="C173" s="425"/>
      <c r="D173" s="425"/>
      <c r="E173" s="425"/>
      <c r="F173" s="425"/>
    </row>
    <row r="174" spans="2:6" ht="12.75">
      <c r="B174" s="425"/>
      <c r="C174" s="425"/>
      <c r="D174" s="425"/>
      <c r="E174" s="425"/>
      <c r="F174" s="425"/>
    </row>
    <row r="175" spans="2:6" ht="12.75">
      <c r="B175" s="425"/>
      <c r="C175" s="425"/>
      <c r="D175" s="425"/>
      <c r="E175" s="425"/>
      <c r="F175" s="425"/>
    </row>
    <row r="176" spans="2:6" ht="12.75">
      <c r="B176" s="425"/>
      <c r="C176" s="425"/>
      <c r="D176" s="425"/>
      <c r="E176" s="425"/>
      <c r="F176" s="425"/>
    </row>
    <row r="177" spans="2:6" ht="12.75">
      <c r="B177" s="425"/>
      <c r="C177" s="425"/>
      <c r="D177" s="425"/>
      <c r="E177" s="425"/>
      <c r="F177" s="425"/>
    </row>
    <row r="178" spans="2:6" ht="12.75">
      <c r="B178" s="425"/>
      <c r="C178" s="425"/>
      <c r="D178" s="425"/>
      <c r="E178" s="425"/>
      <c r="F178" s="425"/>
    </row>
    <row r="179" spans="2:6" ht="12.75">
      <c r="B179" s="425"/>
      <c r="C179" s="425"/>
      <c r="D179" s="425"/>
      <c r="E179" s="425"/>
      <c r="F179" s="425"/>
    </row>
    <row r="180" spans="2:6" ht="12.75">
      <c r="B180" s="425"/>
      <c r="C180" s="425"/>
      <c r="D180" s="425"/>
      <c r="E180" s="425"/>
      <c r="F180" s="425"/>
    </row>
    <row r="181" spans="2:6" ht="12.75">
      <c r="B181" s="425"/>
      <c r="C181" s="425"/>
      <c r="D181" s="425"/>
      <c r="E181" s="425"/>
      <c r="F181" s="425"/>
    </row>
    <row r="182" spans="2:6" ht="12.75">
      <c r="B182" s="425"/>
      <c r="C182" s="425"/>
      <c r="D182" s="425"/>
      <c r="E182" s="425"/>
      <c r="F182" s="425"/>
    </row>
    <row r="183" spans="2:6" ht="12.75">
      <c r="B183" s="425"/>
      <c r="C183" s="425"/>
      <c r="D183" s="425"/>
      <c r="E183" s="425"/>
      <c r="F183" s="425"/>
    </row>
    <row r="184" spans="2:6" ht="12.75">
      <c r="B184" s="425"/>
      <c r="C184" s="425"/>
      <c r="D184" s="425"/>
      <c r="E184" s="425"/>
      <c r="F184" s="425"/>
    </row>
    <row r="185" spans="2:6" ht="12.75">
      <c r="B185" s="425"/>
      <c r="C185" s="425"/>
      <c r="D185" s="425"/>
      <c r="E185" s="425"/>
      <c r="F185" s="425"/>
    </row>
    <row r="186" spans="2:6" ht="12.75">
      <c r="B186" s="425"/>
      <c r="C186" s="425"/>
      <c r="D186" s="425"/>
      <c r="E186" s="425"/>
      <c r="F186" s="425"/>
    </row>
    <row r="187" spans="2:6" ht="12.75">
      <c r="B187" s="425"/>
      <c r="C187" s="425"/>
      <c r="D187" s="425"/>
      <c r="E187" s="425"/>
      <c r="F187" s="425"/>
    </row>
    <row r="188" spans="2:6" ht="12.75">
      <c r="B188" s="425"/>
      <c r="C188" s="425"/>
      <c r="D188" s="425"/>
      <c r="E188" s="425"/>
      <c r="F188" s="425"/>
    </row>
    <row r="189" spans="2:6" ht="12.75">
      <c r="B189" s="425"/>
      <c r="C189" s="425"/>
      <c r="D189" s="425"/>
      <c r="E189" s="425"/>
      <c r="F189" s="425"/>
    </row>
    <row r="190" spans="2:6" ht="12.75">
      <c r="B190" s="425"/>
      <c r="C190" s="425"/>
      <c r="D190" s="425"/>
      <c r="E190" s="425"/>
      <c r="F190" s="425"/>
    </row>
    <row r="191" spans="2:6" ht="12.75">
      <c r="B191" s="425"/>
      <c r="C191" s="425"/>
      <c r="D191" s="425"/>
      <c r="E191" s="425"/>
      <c r="F191" s="425"/>
    </row>
    <row r="192" spans="2:6" ht="12.75">
      <c r="B192" s="425"/>
      <c r="C192" s="425"/>
      <c r="D192" s="425"/>
      <c r="E192" s="425"/>
      <c r="F192" s="425"/>
    </row>
    <row r="193" spans="2:6" ht="12.75">
      <c r="B193" s="425"/>
      <c r="C193" s="425"/>
      <c r="D193" s="425"/>
      <c r="E193" s="425"/>
      <c r="F193" s="425"/>
    </row>
    <row r="194" spans="2:6" ht="12.75">
      <c r="B194" s="425"/>
      <c r="C194" s="425"/>
      <c r="D194" s="425"/>
      <c r="E194" s="425"/>
      <c r="F194" s="425"/>
    </row>
    <row r="195" spans="2:6" ht="12.75">
      <c r="B195" s="425"/>
      <c r="C195" s="425"/>
      <c r="D195" s="425"/>
      <c r="E195" s="425"/>
      <c r="F195" s="425"/>
    </row>
    <row r="196" spans="2:6" ht="12.75">
      <c r="B196" s="425"/>
      <c r="C196" s="425"/>
      <c r="D196" s="425"/>
      <c r="E196" s="425"/>
      <c r="F196" s="425"/>
    </row>
    <row r="197" spans="2:6" ht="12.75">
      <c r="B197" s="425"/>
      <c r="C197" s="425"/>
      <c r="D197" s="425"/>
      <c r="E197" s="425"/>
      <c r="F197" s="425"/>
    </row>
    <row r="198" spans="2:6" ht="12.75">
      <c r="B198" s="425"/>
      <c r="C198" s="425"/>
      <c r="D198" s="425"/>
      <c r="E198" s="425"/>
      <c r="F198" s="425"/>
    </row>
    <row r="199" spans="2:6" ht="12.75">
      <c r="B199" s="425"/>
      <c r="C199" s="425"/>
      <c r="D199" s="425"/>
      <c r="E199" s="425"/>
      <c r="F199" s="425"/>
    </row>
    <row r="200" spans="2:6" ht="12.75">
      <c r="B200" s="425"/>
      <c r="C200" s="425"/>
      <c r="D200" s="425"/>
      <c r="E200" s="425"/>
      <c r="F200" s="425"/>
    </row>
    <row r="201" spans="2:6" ht="12.75">
      <c r="B201" s="425"/>
      <c r="C201" s="425"/>
      <c r="D201" s="425"/>
      <c r="E201" s="425"/>
      <c r="F201" s="425"/>
    </row>
    <row r="202" spans="2:6" ht="12.75">
      <c r="B202" s="425"/>
      <c r="C202" s="425"/>
      <c r="D202" s="425"/>
      <c r="E202" s="425"/>
      <c r="F202" s="425"/>
    </row>
    <row r="203" spans="2:6" ht="12.75">
      <c r="B203" s="425"/>
      <c r="C203" s="425"/>
      <c r="D203" s="425"/>
      <c r="E203" s="425"/>
      <c r="F203" s="425"/>
    </row>
    <row r="204" spans="2:6" ht="12.75">
      <c r="B204" s="425"/>
      <c r="C204" s="425"/>
      <c r="D204" s="425"/>
      <c r="E204" s="425"/>
      <c r="F204" s="425"/>
    </row>
    <row r="205" spans="2:6" ht="12.75">
      <c r="B205" s="425"/>
      <c r="C205" s="425"/>
      <c r="D205" s="425"/>
      <c r="E205" s="425"/>
      <c r="F205" s="425"/>
    </row>
    <row r="206" spans="2:6" ht="12.75">
      <c r="B206" s="425"/>
      <c r="C206" s="425"/>
      <c r="D206" s="425"/>
      <c r="E206" s="425"/>
      <c r="F206" s="425"/>
    </row>
    <row r="207" spans="2:6" ht="12.75">
      <c r="B207" s="425"/>
      <c r="C207" s="425"/>
      <c r="D207" s="425"/>
      <c r="E207" s="425"/>
      <c r="F207" s="425"/>
    </row>
    <row r="208" spans="2:6" ht="12.75">
      <c r="B208" s="425"/>
      <c r="C208" s="425"/>
      <c r="D208" s="425"/>
      <c r="E208" s="425"/>
      <c r="F208" s="425"/>
    </row>
    <row r="209" spans="2:6" ht="12.75">
      <c r="B209" s="425"/>
      <c r="C209" s="425"/>
      <c r="D209" s="425"/>
      <c r="E209" s="425"/>
      <c r="F209" s="425"/>
    </row>
    <row r="210" spans="2:6" ht="12.75">
      <c r="B210" s="425"/>
      <c r="C210" s="425"/>
      <c r="D210" s="425"/>
      <c r="E210" s="425"/>
      <c r="F210" s="425"/>
    </row>
    <row r="211" spans="2:6" ht="12.75">
      <c r="B211" s="425"/>
      <c r="C211" s="425"/>
      <c r="D211" s="425"/>
      <c r="E211" s="425"/>
      <c r="F211" s="425"/>
    </row>
    <row r="212" spans="2:6" ht="12.75">
      <c r="B212" s="425"/>
      <c r="C212" s="425"/>
      <c r="D212" s="425"/>
      <c r="E212" s="425"/>
      <c r="F212" s="425"/>
    </row>
    <row r="213" spans="2:6" ht="12.75">
      <c r="B213" s="425"/>
      <c r="C213" s="425"/>
      <c r="D213" s="425"/>
      <c r="E213" s="425"/>
      <c r="F213" s="425"/>
    </row>
    <row r="214" spans="2:6" ht="12.75">
      <c r="B214" s="425"/>
      <c r="C214" s="425"/>
      <c r="D214" s="425"/>
      <c r="E214" s="425"/>
      <c r="F214" s="425"/>
    </row>
    <row r="215" spans="2:6" ht="12.75">
      <c r="B215" s="425"/>
      <c r="C215" s="425"/>
      <c r="D215" s="425"/>
      <c r="E215" s="425"/>
      <c r="F215" s="425"/>
    </row>
    <row r="216" spans="2:6" ht="12.75">
      <c r="B216" s="425"/>
      <c r="C216" s="425"/>
      <c r="D216" s="425"/>
      <c r="E216" s="425"/>
      <c r="F216" s="425"/>
    </row>
    <row r="217" spans="2:6" ht="12.75">
      <c r="B217" s="425"/>
      <c r="C217" s="425"/>
      <c r="D217" s="425"/>
      <c r="E217" s="425"/>
      <c r="F217" s="425"/>
    </row>
    <row r="218" spans="2:6" ht="12.75">
      <c r="B218" s="425"/>
      <c r="C218" s="425"/>
      <c r="D218" s="425"/>
      <c r="E218" s="425"/>
      <c r="F218" s="425"/>
    </row>
    <row r="219" spans="2:6" ht="12.75">
      <c r="B219" s="425"/>
      <c r="C219" s="425"/>
      <c r="D219" s="425"/>
      <c r="E219" s="425"/>
      <c r="F219" s="425"/>
    </row>
    <row r="220" spans="2:6" ht="12.75">
      <c r="B220" s="425"/>
      <c r="C220" s="425"/>
      <c r="D220" s="425"/>
      <c r="E220" s="425"/>
      <c r="F220" s="425"/>
    </row>
    <row r="221" spans="2:6" ht="12.75">
      <c r="B221" s="425"/>
      <c r="C221" s="425"/>
      <c r="D221" s="425"/>
      <c r="E221" s="425"/>
      <c r="F221" s="425"/>
    </row>
    <row r="222" spans="2:6" ht="12.75">
      <c r="B222" s="425"/>
      <c r="C222" s="425"/>
      <c r="D222" s="425"/>
      <c r="E222" s="425"/>
      <c r="F222" s="425"/>
    </row>
    <row r="223" spans="2:6" ht="12.75">
      <c r="B223" s="425"/>
      <c r="C223" s="425"/>
      <c r="D223" s="425"/>
      <c r="E223" s="425"/>
      <c r="F223" s="425"/>
    </row>
    <row r="224" spans="2:6" ht="12.75">
      <c r="B224" s="425"/>
      <c r="C224" s="425"/>
      <c r="D224" s="425"/>
      <c r="E224" s="425"/>
      <c r="F224" s="425"/>
    </row>
    <row r="225" spans="2:6" ht="12.75">
      <c r="B225" s="425"/>
      <c r="C225" s="425"/>
      <c r="D225" s="425"/>
      <c r="E225" s="425"/>
      <c r="F225" s="425"/>
    </row>
    <row r="226" spans="2:6" ht="12.75">
      <c r="B226" s="425"/>
      <c r="C226" s="425"/>
      <c r="D226" s="425"/>
      <c r="E226" s="425"/>
      <c r="F226" s="425"/>
    </row>
    <row r="227" spans="2:6" ht="12.75">
      <c r="B227" s="425"/>
      <c r="C227" s="425"/>
      <c r="D227" s="425"/>
      <c r="E227" s="425"/>
      <c r="F227" s="425"/>
    </row>
    <row r="228" spans="2:6" ht="12.75">
      <c r="B228" s="425"/>
      <c r="C228" s="425"/>
      <c r="D228" s="425"/>
      <c r="E228" s="425"/>
      <c r="F228" s="425"/>
    </row>
    <row r="229" spans="2:6" ht="12.75">
      <c r="B229" s="425"/>
      <c r="C229" s="425"/>
      <c r="D229" s="425"/>
      <c r="E229" s="425"/>
      <c r="F229" s="425"/>
    </row>
    <row r="230" spans="2:6" ht="12.75">
      <c r="B230" s="425"/>
      <c r="C230" s="425"/>
      <c r="D230" s="425"/>
      <c r="E230" s="425"/>
      <c r="F230" s="425"/>
    </row>
    <row r="231" spans="2:6" ht="12.75">
      <c r="B231" s="425"/>
      <c r="C231" s="425"/>
      <c r="D231" s="425"/>
      <c r="E231" s="425"/>
      <c r="F231" s="425"/>
    </row>
    <row r="232" spans="2:6" ht="12.75">
      <c r="B232" s="425"/>
      <c r="C232" s="425"/>
      <c r="D232" s="425"/>
      <c r="E232" s="425"/>
      <c r="F232" s="425"/>
    </row>
    <row r="233" spans="2:6" ht="12.75">
      <c r="B233" s="425"/>
      <c r="C233" s="425"/>
      <c r="D233" s="425"/>
      <c r="E233" s="425"/>
      <c r="F233" s="425"/>
    </row>
    <row r="234" spans="2:6" ht="12.75">
      <c r="B234" s="425"/>
      <c r="C234" s="425"/>
      <c r="D234" s="425"/>
      <c r="E234" s="425"/>
      <c r="F234" s="425"/>
    </row>
    <row r="235" spans="2:6" ht="12.75">
      <c r="B235" s="425"/>
      <c r="C235" s="425"/>
      <c r="D235" s="425"/>
      <c r="E235" s="425"/>
      <c r="F235" s="425"/>
    </row>
    <row r="236" spans="2:6" ht="12.75">
      <c r="B236" s="425"/>
      <c r="C236" s="425"/>
      <c r="D236" s="425"/>
      <c r="E236" s="425"/>
      <c r="F236" s="425"/>
    </row>
    <row r="237" spans="2:6" ht="12.75">
      <c r="B237" s="425"/>
      <c r="C237" s="425"/>
      <c r="D237" s="425"/>
      <c r="E237" s="425"/>
      <c r="F237" s="425"/>
    </row>
    <row r="238" spans="2:6" ht="12.75">
      <c r="B238" s="425"/>
      <c r="C238" s="425"/>
      <c r="D238" s="425"/>
      <c r="E238" s="425"/>
      <c r="F238" s="425"/>
    </row>
    <row r="239" spans="2:6" ht="12.75">
      <c r="B239" s="425"/>
      <c r="C239" s="425"/>
      <c r="D239" s="425"/>
      <c r="E239" s="425"/>
      <c r="F239" s="425"/>
    </row>
    <row r="240" spans="2:6" ht="12.75">
      <c r="B240" s="425"/>
      <c r="C240" s="425"/>
      <c r="D240" s="425"/>
      <c r="E240" s="425"/>
      <c r="F240" s="425"/>
    </row>
    <row r="241" spans="2:6" ht="12.75">
      <c r="B241" s="425"/>
      <c r="C241" s="425"/>
      <c r="D241" s="425"/>
      <c r="E241" s="425"/>
      <c r="F241" s="425"/>
    </row>
    <row r="242" spans="2:6" ht="12.75">
      <c r="B242" s="425"/>
      <c r="C242" s="425"/>
      <c r="D242" s="425"/>
      <c r="E242" s="425"/>
      <c r="F242" s="425"/>
    </row>
    <row r="243" spans="2:6" ht="12.75">
      <c r="B243" s="425"/>
      <c r="C243" s="425"/>
      <c r="D243" s="425"/>
      <c r="E243" s="425"/>
      <c r="F243" s="425"/>
    </row>
    <row r="244" spans="2:6" ht="12.75">
      <c r="B244" s="425"/>
      <c r="C244" s="425"/>
      <c r="D244" s="425"/>
      <c r="E244" s="425"/>
      <c r="F244" s="425"/>
    </row>
    <row r="245" spans="2:6" ht="12.75">
      <c r="B245" s="425"/>
      <c r="C245" s="425"/>
      <c r="D245" s="425"/>
      <c r="E245" s="425"/>
      <c r="F245" s="425"/>
    </row>
    <row r="246" spans="2:6" ht="12.75">
      <c r="B246" s="425"/>
      <c r="C246" s="425"/>
      <c r="D246" s="425"/>
      <c r="E246" s="425"/>
      <c r="F246" s="425"/>
    </row>
    <row r="247" spans="2:6" ht="12.75">
      <c r="B247" s="425"/>
      <c r="C247" s="425"/>
      <c r="D247" s="425"/>
      <c r="E247" s="425"/>
      <c r="F247" s="425"/>
    </row>
    <row r="248" spans="2:6" ht="12.75">
      <c r="B248" s="425"/>
      <c r="C248" s="425"/>
      <c r="D248" s="425"/>
      <c r="E248" s="425"/>
      <c r="F248" s="425"/>
    </row>
    <row r="249" spans="2:6" ht="12.75">
      <c r="B249" s="425"/>
      <c r="C249" s="425"/>
      <c r="D249" s="425"/>
      <c r="E249" s="425"/>
      <c r="F249" s="425"/>
    </row>
    <row r="250" spans="2:6" ht="12.75">
      <c r="B250" s="425"/>
      <c r="C250" s="425"/>
      <c r="D250" s="425"/>
      <c r="E250" s="425"/>
      <c r="F250" s="425"/>
    </row>
    <row r="251" spans="2:6" ht="12.75">
      <c r="B251" s="425"/>
      <c r="C251" s="425"/>
      <c r="D251" s="425"/>
      <c r="E251" s="425"/>
      <c r="F251" s="425"/>
    </row>
    <row r="252" spans="2:6" ht="12.75">
      <c r="B252" s="425"/>
      <c r="C252" s="425"/>
      <c r="D252" s="425"/>
      <c r="E252" s="425"/>
      <c r="F252" s="425"/>
    </row>
    <row r="253" spans="2:6" ht="12.75">
      <c r="B253" s="425"/>
      <c r="C253" s="425"/>
      <c r="D253" s="425"/>
      <c r="E253" s="425"/>
      <c r="F253" s="425"/>
    </row>
    <row r="254" spans="2:6" ht="12.75">
      <c r="B254" s="425"/>
      <c r="C254" s="425"/>
      <c r="D254" s="425"/>
      <c r="E254" s="425"/>
      <c r="F254" s="425"/>
    </row>
    <row r="255" spans="2:6" ht="12.75">
      <c r="B255" s="425"/>
      <c r="C255" s="425"/>
      <c r="D255" s="425"/>
      <c r="E255" s="425"/>
      <c r="F255" s="425"/>
    </row>
    <row r="256" spans="2:6" ht="12.75">
      <c r="B256" s="425"/>
      <c r="C256" s="425"/>
      <c r="D256" s="425"/>
      <c r="E256" s="425"/>
      <c r="F256" s="425"/>
    </row>
    <row r="257" spans="2:6" ht="12.75">
      <c r="B257" s="425"/>
      <c r="C257" s="425"/>
      <c r="D257" s="425"/>
      <c r="E257" s="425"/>
      <c r="F257" s="425"/>
    </row>
    <row r="258" spans="2:6" ht="12.75">
      <c r="B258" s="425"/>
      <c r="C258" s="425"/>
      <c r="D258" s="425"/>
      <c r="E258" s="425"/>
      <c r="F258" s="425"/>
    </row>
    <row r="259" spans="2:6" ht="12.75">
      <c r="B259" s="425"/>
      <c r="C259" s="425"/>
      <c r="D259" s="425"/>
      <c r="E259" s="425"/>
      <c r="F259" s="425"/>
    </row>
    <row r="260" spans="2:6" ht="12.75">
      <c r="B260" s="425"/>
      <c r="C260" s="425"/>
      <c r="D260" s="425"/>
      <c r="E260" s="425"/>
      <c r="F260" s="425"/>
    </row>
    <row r="261" spans="2:6" ht="12.75">
      <c r="B261" s="425"/>
      <c r="C261" s="425"/>
      <c r="D261" s="425"/>
      <c r="E261" s="425"/>
      <c r="F261" s="425"/>
    </row>
    <row r="262" spans="2:6" ht="12.75">
      <c r="B262" s="425"/>
      <c r="C262" s="425"/>
      <c r="D262" s="425"/>
      <c r="E262" s="425"/>
      <c r="F262" s="425"/>
    </row>
    <row r="263" spans="2:6" ht="12.75">
      <c r="B263" s="425"/>
      <c r="C263" s="425"/>
      <c r="D263" s="425"/>
      <c r="E263" s="425"/>
      <c r="F263" s="425"/>
    </row>
    <row r="264" spans="2:6" ht="12.75">
      <c r="B264" s="425"/>
      <c r="C264" s="425"/>
      <c r="D264" s="425"/>
      <c r="E264" s="425"/>
      <c r="F264" s="425"/>
    </row>
    <row r="265" spans="2:6" ht="12.75">
      <c r="B265" s="425"/>
      <c r="C265" s="425"/>
      <c r="D265" s="425"/>
      <c r="E265" s="425"/>
      <c r="F265" s="425"/>
    </row>
    <row r="266" spans="2:6" ht="12.75">
      <c r="B266" s="425"/>
      <c r="C266" s="425"/>
      <c r="D266" s="425"/>
      <c r="E266" s="425"/>
      <c r="F266" s="425"/>
    </row>
  </sheetData>
  <hyperlinks>
    <hyperlink ref="F1" location="Obsah!A1" display="Skok na obsah"/>
  </hyperlink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rowBreaks count="2" manualBreakCount="2">
    <brk id="37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11.75390625" style="0" customWidth="1"/>
    <col min="10" max="10" width="1.00390625" style="0" customWidth="1"/>
  </cols>
  <sheetData>
    <row r="1" spans="1:9" s="593" customFormat="1" ht="21" customHeight="1">
      <c r="A1" s="592" t="s">
        <v>615</v>
      </c>
      <c r="I1" s="1248" t="s">
        <v>785</v>
      </c>
    </row>
    <row r="2" s="593" customFormat="1" ht="21" customHeight="1">
      <c r="A2" s="594" t="s">
        <v>624</v>
      </c>
    </row>
    <row r="4" ht="12.75">
      <c r="A4" t="s">
        <v>152</v>
      </c>
    </row>
    <row r="5" ht="13.5" thickBot="1"/>
    <row r="6" spans="1:2" ht="12.75">
      <c r="A6" s="21" t="s">
        <v>153</v>
      </c>
      <c r="B6" s="21"/>
    </row>
    <row r="7" spans="1:2" ht="12.75">
      <c r="A7" s="589" t="s">
        <v>154</v>
      </c>
      <c r="B7" s="589">
        <v>0.9944875783482735</v>
      </c>
    </row>
    <row r="8" spans="1:2" ht="12.75">
      <c r="A8" s="18" t="s">
        <v>155</v>
      </c>
      <c r="B8" s="18">
        <v>0.9890055434890135</v>
      </c>
    </row>
    <row r="9" spans="1:2" ht="12.75">
      <c r="A9" s="18" t="s">
        <v>156</v>
      </c>
      <c r="B9" s="18">
        <v>0.9868066521868162</v>
      </c>
    </row>
    <row r="10" spans="1:2" ht="12.75">
      <c r="A10" s="18" t="s">
        <v>157</v>
      </c>
      <c r="B10" s="18">
        <v>308.122471012513</v>
      </c>
    </row>
    <row r="11" spans="1:2" ht="13.5" thickBot="1">
      <c r="A11" s="19" t="s">
        <v>158</v>
      </c>
      <c r="B11" s="19">
        <v>7</v>
      </c>
    </row>
    <row r="13" ht="13.5" thickBot="1">
      <c r="A13" t="s">
        <v>159</v>
      </c>
    </row>
    <row r="14" spans="1:6" ht="12.75">
      <c r="A14" s="20"/>
      <c r="B14" s="20" t="s">
        <v>164</v>
      </c>
      <c r="C14" s="20" t="s">
        <v>165</v>
      </c>
      <c r="D14" s="20" t="s">
        <v>166</v>
      </c>
      <c r="E14" s="20" t="s">
        <v>167</v>
      </c>
      <c r="F14" s="20" t="s">
        <v>168</v>
      </c>
    </row>
    <row r="15" spans="1:6" ht="12.75">
      <c r="A15" s="18" t="s">
        <v>160</v>
      </c>
      <c r="B15" s="18">
        <v>1</v>
      </c>
      <c r="C15" s="18">
        <v>42701360.14285715</v>
      </c>
      <c r="D15" s="18">
        <v>42701360.14285715</v>
      </c>
      <c r="E15" s="18">
        <v>449.7746398381415</v>
      </c>
      <c r="F15" s="18">
        <v>4.32042230232975E-06</v>
      </c>
    </row>
    <row r="16" spans="1:6" ht="12.75">
      <c r="A16" s="18" t="s">
        <v>161</v>
      </c>
      <c r="B16" s="18">
        <v>5</v>
      </c>
      <c r="C16" s="18">
        <v>474697.28571428463</v>
      </c>
      <c r="D16" s="18">
        <v>94939.45714285693</v>
      </c>
      <c r="E16" s="18"/>
      <c r="F16" s="18"/>
    </row>
    <row r="17" spans="1:6" ht="13.5" thickBot="1">
      <c r="A17" s="19" t="s">
        <v>162</v>
      </c>
      <c r="B17" s="19">
        <v>6</v>
      </c>
      <c r="C17" s="19">
        <v>43176057.42857143</v>
      </c>
      <c r="D17" s="19"/>
      <c r="E17" s="19"/>
      <c r="F17" s="19"/>
    </row>
    <row r="18" ht="13.5" thickBot="1"/>
    <row r="19" spans="1:9" ht="12.75">
      <c r="A19" s="590"/>
      <c r="B19" s="590" t="s">
        <v>169</v>
      </c>
      <c r="C19" s="20" t="s">
        <v>157</v>
      </c>
      <c r="D19" s="20" t="s">
        <v>170</v>
      </c>
      <c r="E19" s="20" t="s">
        <v>171</v>
      </c>
      <c r="F19" s="20" t="s">
        <v>172</v>
      </c>
      <c r="G19" s="20" t="s">
        <v>173</v>
      </c>
      <c r="H19" s="20" t="s">
        <v>174</v>
      </c>
      <c r="I19" s="20" t="s">
        <v>175</v>
      </c>
    </row>
    <row r="20" spans="1:9" ht="12.75">
      <c r="A20" s="589" t="s">
        <v>163</v>
      </c>
      <c r="B20" s="589">
        <v>11801.57142857143</v>
      </c>
      <c r="C20" s="18">
        <v>260.41101735368943</v>
      </c>
      <c r="D20" s="18">
        <v>45.31901740755681</v>
      </c>
      <c r="E20" s="18">
        <v>9.877305467411385E-08</v>
      </c>
      <c r="F20" s="18">
        <v>11132.164691403146</v>
      </c>
      <c r="G20" s="18">
        <v>12470.978165739712</v>
      </c>
      <c r="H20" s="18">
        <v>11132.164691403146</v>
      </c>
      <c r="I20" s="18">
        <v>12470.978165739712</v>
      </c>
    </row>
    <row r="21" spans="1:9" ht="13.5" thickBot="1">
      <c r="A21" s="591" t="s">
        <v>623</v>
      </c>
      <c r="B21" s="591">
        <v>1234.9285714285713</v>
      </c>
      <c r="C21" s="19">
        <v>58.22967368927269</v>
      </c>
      <c r="D21" s="19">
        <v>21.207890980437952</v>
      </c>
      <c r="E21" s="19">
        <v>4.320422302329748E-06</v>
      </c>
      <c r="F21" s="19">
        <v>1085.2446745381096</v>
      </c>
      <c r="G21" s="19">
        <v>1384.612468319033</v>
      </c>
      <c r="H21" s="19">
        <v>1085.2446745381096</v>
      </c>
      <c r="I21" s="19">
        <v>1384.612468319033</v>
      </c>
    </row>
    <row r="25" ht="12.75">
      <c r="A25" t="s">
        <v>176</v>
      </c>
    </row>
    <row r="26" ht="13.5" thickBot="1">
      <c r="F26" s="31"/>
    </row>
    <row r="27" spans="1:6" ht="12.75">
      <c r="A27" s="20" t="s">
        <v>158</v>
      </c>
      <c r="B27" s="20" t="s">
        <v>621</v>
      </c>
      <c r="C27" s="20" t="s">
        <v>161</v>
      </c>
      <c r="D27" s="20" t="s">
        <v>622</v>
      </c>
      <c r="E27" s="20"/>
      <c r="F27" s="659"/>
    </row>
    <row r="28" spans="1:6" ht="12.75">
      <c r="A28" s="18">
        <v>1</v>
      </c>
      <c r="B28" s="18">
        <v>13036.5</v>
      </c>
      <c r="C28" s="18">
        <v>-194.5</v>
      </c>
      <c r="D28" s="18">
        <v>-0.6914915168938035</v>
      </c>
      <c r="E28" s="18"/>
      <c r="F28" s="18"/>
    </row>
    <row r="29" spans="1:6" ht="12.75">
      <c r="A29" s="18">
        <v>2</v>
      </c>
      <c r="B29" s="18">
        <v>14271.428571428572</v>
      </c>
      <c r="C29" s="18">
        <v>460.57142857142753</v>
      </c>
      <c r="D29" s="18">
        <v>1.637435659541401</v>
      </c>
      <c r="E29" s="18"/>
      <c r="F29" s="18"/>
    </row>
    <row r="30" spans="1:6" ht="12.75">
      <c r="A30" s="18">
        <v>3</v>
      </c>
      <c r="B30" s="18">
        <v>15506.357142857143</v>
      </c>
      <c r="C30" s="18">
        <v>59.64285714285688</v>
      </c>
      <c r="D30" s="18">
        <v>0.21204385479483048</v>
      </c>
      <c r="E30" s="18"/>
      <c r="F30" s="18"/>
    </row>
    <row r="31" spans="1:6" ht="12.75">
      <c r="A31" s="18">
        <v>4</v>
      </c>
      <c r="B31" s="18">
        <v>16741.285714285714</v>
      </c>
      <c r="C31" s="18">
        <v>-286.28571428571377</v>
      </c>
      <c r="D31" s="18">
        <v>-1.017810503015189</v>
      </c>
      <c r="E31" s="18"/>
      <c r="F31" s="18"/>
    </row>
    <row r="32" spans="1:6" ht="12.75">
      <c r="A32" s="18">
        <v>5</v>
      </c>
      <c r="B32" s="18">
        <v>17976.214285714286</v>
      </c>
      <c r="C32" s="18">
        <v>-186.21428571428623</v>
      </c>
      <c r="D32" s="18">
        <v>-0.6620339274851821</v>
      </c>
      <c r="E32" s="18"/>
      <c r="F32" s="18"/>
    </row>
    <row r="33" spans="1:6" ht="12.75">
      <c r="A33" s="18">
        <v>6</v>
      </c>
      <c r="B33" s="18">
        <v>19211.142857142855</v>
      </c>
      <c r="C33" s="18">
        <v>-143.14285714285506</v>
      </c>
      <c r="D33" s="18">
        <v>-0.508905251507588</v>
      </c>
      <c r="E33" s="18"/>
      <c r="F33" s="18"/>
    </row>
    <row r="34" spans="1:6" ht="13.5" thickBot="1">
      <c r="A34" s="19">
        <v>7</v>
      </c>
      <c r="B34" s="19">
        <v>20446.071428571428</v>
      </c>
      <c r="C34" s="19">
        <v>289.92857142857247</v>
      </c>
      <c r="D34" s="19">
        <v>1.0307616845655374</v>
      </c>
      <c r="E34" s="19"/>
      <c r="F34" s="18"/>
    </row>
    <row r="35" ht="12.75">
      <c r="F35" s="31"/>
    </row>
  </sheetData>
  <hyperlinks>
    <hyperlink ref="I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4.00390625" style="0" bestFit="1" customWidth="1"/>
    <col min="4" max="4" width="13.375" style="0" customWidth="1"/>
  </cols>
  <sheetData>
    <row r="1" ht="15.75">
      <c r="A1" s="1028" t="s">
        <v>698</v>
      </c>
    </row>
    <row r="2" ht="12.75">
      <c r="D2" s="1248" t="s">
        <v>785</v>
      </c>
    </row>
    <row r="3" spans="1:2" ht="18" customHeight="1">
      <c r="A3" s="1034" t="s">
        <v>437</v>
      </c>
      <c r="B3" s="1035">
        <v>0.038</v>
      </c>
    </row>
    <row r="4" spans="1:2" ht="18" customHeight="1">
      <c r="A4" s="1036" t="s">
        <v>430</v>
      </c>
      <c r="B4" s="1036">
        <v>0.5</v>
      </c>
    </row>
    <row r="5" spans="1:2" ht="18" customHeight="1">
      <c r="A5" s="1036" t="s">
        <v>431</v>
      </c>
      <c r="B5" s="1037">
        <v>0.0517</v>
      </c>
    </row>
    <row r="6" spans="1:2" ht="18" customHeight="1">
      <c r="A6" s="1038" t="s">
        <v>432</v>
      </c>
      <c r="B6" s="1039" t="s">
        <v>433</v>
      </c>
    </row>
    <row r="7" spans="1:2" ht="18" customHeight="1">
      <c r="A7" s="593"/>
      <c r="B7" s="593"/>
    </row>
    <row r="8" spans="1:2" ht="18" customHeight="1">
      <c r="A8" s="1034" t="s">
        <v>696</v>
      </c>
      <c r="B8" s="1035">
        <v>0.012</v>
      </c>
    </row>
    <row r="9" spans="1:2" ht="18" customHeight="1">
      <c r="A9" s="1036" t="s">
        <v>435</v>
      </c>
      <c r="B9" s="1036">
        <v>1.5</v>
      </c>
    </row>
    <row r="10" spans="1:2" ht="18" customHeight="1">
      <c r="A10" s="1038" t="s">
        <v>434</v>
      </c>
      <c r="B10" s="1040">
        <f>B8*B9</f>
        <v>0.018000000000000002</v>
      </c>
    </row>
    <row r="11" spans="1:2" ht="18" customHeight="1">
      <c r="A11" s="1030" t="s">
        <v>436</v>
      </c>
      <c r="B11" s="1031">
        <f>B10+0.02</f>
        <v>0.038000000000000006</v>
      </c>
    </row>
    <row r="12" spans="1:2" ht="18" customHeight="1">
      <c r="A12" s="593"/>
      <c r="B12" s="593"/>
    </row>
    <row r="13" spans="1:2" ht="18" customHeight="1">
      <c r="A13" s="1034" t="s">
        <v>438</v>
      </c>
      <c r="B13" s="1035">
        <v>0.02</v>
      </c>
    </row>
    <row r="14" spans="1:2" ht="18" customHeight="1">
      <c r="A14" s="1038" t="s">
        <v>439</v>
      </c>
      <c r="B14" s="1040">
        <v>0.015</v>
      </c>
    </row>
    <row r="15" spans="1:2" ht="18" customHeight="1">
      <c r="A15" s="593"/>
      <c r="B15" s="593"/>
    </row>
    <row r="16" spans="1:2" ht="18" customHeight="1">
      <c r="A16" s="1034" t="s">
        <v>440</v>
      </c>
      <c r="B16" s="1042">
        <v>0.4</v>
      </c>
    </row>
    <row r="17" spans="1:2" ht="18" customHeight="1">
      <c r="A17" s="1038" t="s">
        <v>441</v>
      </c>
      <c r="B17" s="1041">
        <v>0.31</v>
      </c>
    </row>
    <row r="18" spans="1:2" ht="18" customHeight="1">
      <c r="A18" s="593"/>
      <c r="B18" s="593"/>
    </row>
    <row r="19" spans="1:2" ht="18" customHeight="1">
      <c r="A19" s="1030" t="s">
        <v>442</v>
      </c>
      <c r="B19" s="1030">
        <f>B4*(1+B16*(1-B17))</f>
        <v>0.638</v>
      </c>
    </row>
    <row r="20" spans="1:2" ht="18" customHeight="1">
      <c r="A20" s="593"/>
      <c r="B20" s="593"/>
    </row>
    <row r="21" spans="1:3" ht="18" customHeight="1">
      <c r="A21" s="1032" t="s">
        <v>416</v>
      </c>
      <c r="B21" s="1033">
        <f>ROUND(B3+B5*B19+B11+B13+B14,4)</f>
        <v>0.144</v>
      </c>
      <c r="C21" s="281"/>
    </row>
  </sheetData>
  <hyperlinks>
    <hyperlink ref="D2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6.375" style="0" customWidth="1"/>
    <col min="2" max="2" width="13.625" style="0" customWidth="1"/>
    <col min="3" max="3" width="11.625" style="0" customWidth="1"/>
    <col min="4" max="4" width="13.00390625" style="0" customWidth="1"/>
    <col min="5" max="5" width="12.125" style="0" customWidth="1"/>
    <col min="6" max="6" width="14.75390625" style="0" customWidth="1"/>
    <col min="7" max="7" width="6.875" style="0" customWidth="1"/>
    <col min="8" max="8" width="8.375" style="0" customWidth="1"/>
  </cols>
  <sheetData>
    <row r="1" spans="1:8" ht="15.75">
      <c r="A1" s="1028" t="s">
        <v>699</v>
      </c>
      <c r="H1" s="1248" t="s">
        <v>785</v>
      </c>
    </row>
    <row r="2" ht="13.5" thickBot="1"/>
    <row r="3" spans="1:4" ht="48" thickBot="1">
      <c r="A3" s="1072"/>
      <c r="B3" s="1073" t="s">
        <v>423</v>
      </c>
      <c r="C3" s="1074" t="s">
        <v>379</v>
      </c>
      <c r="D3" s="1075" t="s">
        <v>380</v>
      </c>
    </row>
    <row r="4" spans="1:8" ht="15.75">
      <c r="A4" s="291" t="s">
        <v>381</v>
      </c>
      <c r="B4" s="292">
        <f>SUM(B5:B10)</f>
        <v>23</v>
      </c>
      <c r="C4" s="1053"/>
      <c r="D4" s="1055">
        <f>SUM(D5:D10)</f>
        <v>23</v>
      </c>
      <c r="E4" s="1048" t="s">
        <v>697</v>
      </c>
      <c r="F4" s="1048"/>
      <c r="G4" s="1048"/>
      <c r="H4" s="1061">
        <v>0.05</v>
      </c>
    </row>
    <row r="5" spans="1:8" ht="16.5">
      <c r="A5" s="293" t="s">
        <v>382</v>
      </c>
      <c r="B5" s="294">
        <f>C26</f>
        <v>4</v>
      </c>
      <c r="C5" s="1058">
        <v>1</v>
      </c>
      <c r="D5" s="206">
        <f>B5*C5</f>
        <v>4</v>
      </c>
      <c r="E5" s="31" t="s">
        <v>426</v>
      </c>
      <c r="F5" s="31"/>
      <c r="G5" s="31"/>
      <c r="H5" s="1051">
        <f>H4/D12</f>
        <v>0.0016233766233766235</v>
      </c>
    </row>
    <row r="6" spans="1:8" ht="16.5">
      <c r="A6" s="296" t="s">
        <v>383</v>
      </c>
      <c r="B6" s="294">
        <f>C33</f>
        <v>3</v>
      </c>
      <c r="C6" s="1058">
        <v>1</v>
      </c>
      <c r="D6" s="206">
        <f aca="true" t="shared" si="0" ref="D6:D11">B6*C6</f>
        <v>3</v>
      </c>
      <c r="E6" s="31" t="s">
        <v>424</v>
      </c>
      <c r="F6" s="31"/>
      <c r="G6" s="31"/>
      <c r="H6" s="1062">
        <v>0.3</v>
      </c>
    </row>
    <row r="7" spans="1:8" ht="16.5">
      <c r="A7" s="296" t="s">
        <v>384</v>
      </c>
      <c r="B7" s="294">
        <f>C40</f>
        <v>6</v>
      </c>
      <c r="C7" s="1058">
        <v>1</v>
      </c>
      <c r="D7" s="206">
        <f t="shared" si="0"/>
        <v>6</v>
      </c>
      <c r="E7" s="336" t="s">
        <v>425</v>
      </c>
      <c r="F7" s="336"/>
      <c r="G7" s="336"/>
      <c r="H7" s="1052">
        <f>(H6/H4)^(1/4)</f>
        <v>1.5650845800732873</v>
      </c>
    </row>
    <row r="8" spans="1:5" ht="15.75">
      <c r="A8" s="296" t="s">
        <v>385</v>
      </c>
      <c r="B8" s="294">
        <f>C47</f>
        <v>3</v>
      </c>
      <c r="C8" s="1058">
        <v>1</v>
      </c>
      <c r="D8" s="206">
        <f t="shared" si="0"/>
        <v>3</v>
      </c>
      <c r="E8" s="287"/>
    </row>
    <row r="9" spans="1:5" ht="15.75">
      <c r="A9" s="296" t="s">
        <v>386</v>
      </c>
      <c r="B9" s="294">
        <f>C54</f>
        <v>3</v>
      </c>
      <c r="C9" s="1058">
        <v>1</v>
      </c>
      <c r="D9" s="206">
        <f t="shared" si="0"/>
        <v>3</v>
      </c>
      <c r="E9" s="287"/>
    </row>
    <row r="10" spans="1:4" ht="15.75">
      <c r="A10" s="297" t="s">
        <v>387</v>
      </c>
      <c r="B10" s="298">
        <f>C61</f>
        <v>4</v>
      </c>
      <c r="C10" s="1059">
        <v>1</v>
      </c>
      <c r="D10" s="206">
        <f>B10*C10</f>
        <v>4</v>
      </c>
    </row>
    <row r="11" spans="1:4" ht="16.5" thickBot="1">
      <c r="A11" s="299" t="s">
        <v>388</v>
      </c>
      <c r="B11" s="300">
        <f>C69</f>
        <v>6</v>
      </c>
      <c r="C11" s="1060">
        <v>1.3</v>
      </c>
      <c r="D11" s="1056">
        <f t="shared" si="0"/>
        <v>7.800000000000001</v>
      </c>
    </row>
    <row r="12" spans="1:8" ht="16.5" thickBot="1">
      <c r="A12" s="301" t="s">
        <v>389</v>
      </c>
      <c r="B12" s="302">
        <f>B4+B11</f>
        <v>29</v>
      </c>
      <c r="C12" s="1054"/>
      <c r="D12" s="1057">
        <f>D4+D11</f>
        <v>30.8</v>
      </c>
      <c r="E12" s="329" t="s">
        <v>390</v>
      </c>
      <c r="F12" s="329"/>
      <c r="G12" s="98"/>
      <c r="H12" s="96">
        <f>D4/D11</f>
        <v>2.9487179487179485</v>
      </c>
    </row>
    <row r="13" ht="16.5" thickBot="1">
      <c r="B13" s="295"/>
    </row>
    <row r="14" spans="1:4" ht="32.25" thickBot="1">
      <c r="A14" s="1076" t="s">
        <v>391</v>
      </c>
      <c r="B14" s="1077" t="s">
        <v>392</v>
      </c>
      <c r="C14" s="1078" t="s">
        <v>428</v>
      </c>
      <c r="D14" s="1079" t="s">
        <v>427</v>
      </c>
    </row>
    <row r="15" spans="1:4" ht="12.75">
      <c r="A15" s="260" t="s">
        <v>393</v>
      </c>
      <c r="B15" s="303">
        <f>$H$7^1</f>
        <v>1.5650845800732873</v>
      </c>
      <c r="C15" s="304">
        <f>B15-1</f>
        <v>0.5650845800732873</v>
      </c>
      <c r="D15" s="305">
        <f>$H$5*C15</f>
        <v>0.0009173450975215704</v>
      </c>
    </row>
    <row r="16" spans="1:4" ht="12.75">
      <c r="A16" s="306" t="s">
        <v>394</v>
      </c>
      <c r="B16" s="307">
        <f>$H$7^2</f>
        <v>2.4494897427831783</v>
      </c>
      <c r="C16" s="308">
        <f>B16-1</f>
        <v>1.4494897427831783</v>
      </c>
      <c r="D16" s="309">
        <f>$H$5*C16</f>
        <v>0.0023530677642584065</v>
      </c>
    </row>
    <row r="17" spans="1:4" ht="12.75">
      <c r="A17" s="306" t="s">
        <v>395</v>
      </c>
      <c r="B17" s="307">
        <f>$H$7^3</f>
        <v>3.8336586254776353</v>
      </c>
      <c r="C17" s="308">
        <f>B17-1</f>
        <v>2.8336586254776353</v>
      </c>
      <c r="D17" s="309">
        <f>$H$5*C17</f>
        <v>0.004600095171229928</v>
      </c>
    </row>
    <row r="18" spans="1:4" ht="13.5" thickBot="1">
      <c r="A18" s="310" t="s">
        <v>396</v>
      </c>
      <c r="B18" s="311">
        <f>$H$7^4</f>
        <v>6.000000000000001</v>
      </c>
      <c r="C18" s="312">
        <f>B18-1</f>
        <v>5.000000000000001</v>
      </c>
      <c r="D18" s="313">
        <f>$H$5*C18</f>
        <v>0.00811688311688312</v>
      </c>
    </row>
    <row r="20" ht="16.5" thickBot="1">
      <c r="A20" s="1092" t="s">
        <v>397</v>
      </c>
    </row>
    <row r="21" spans="1:6" ht="45" thickBot="1">
      <c r="A21" s="1080" t="s">
        <v>398</v>
      </c>
      <c r="B21" s="1081" t="s">
        <v>429</v>
      </c>
      <c r="C21" s="1082" t="s">
        <v>399</v>
      </c>
      <c r="D21" s="1083" t="s">
        <v>379</v>
      </c>
      <c r="E21" s="1083" t="s">
        <v>400</v>
      </c>
      <c r="F21" s="1084" t="s">
        <v>401</v>
      </c>
    </row>
    <row r="22" spans="1:6" ht="15.75">
      <c r="A22" s="140" t="s">
        <v>402</v>
      </c>
      <c r="B22" s="314">
        <f>$D$15</f>
        <v>0.0009173450975215704</v>
      </c>
      <c r="C22" s="1063">
        <v>1</v>
      </c>
      <c r="D22" s="315">
        <f>$C$5</f>
        <v>1</v>
      </c>
      <c r="E22" s="315">
        <f>C22*D22</f>
        <v>1</v>
      </c>
      <c r="F22" s="316">
        <f>B22*E22</f>
        <v>0.0009173450975215704</v>
      </c>
    </row>
    <row r="23" spans="1:6" ht="15.75">
      <c r="A23" s="100" t="s">
        <v>403</v>
      </c>
      <c r="B23" s="317">
        <f>$D$16</f>
        <v>0.0023530677642584065</v>
      </c>
      <c r="C23" s="1064">
        <v>2</v>
      </c>
      <c r="D23" s="288">
        <f>$C$5</f>
        <v>1</v>
      </c>
      <c r="E23" s="288">
        <f>C23*D23</f>
        <v>2</v>
      </c>
      <c r="F23" s="318">
        <f>B23*E23</f>
        <v>0.004706135528516813</v>
      </c>
    </row>
    <row r="24" spans="1:6" ht="15.75">
      <c r="A24" s="100" t="s">
        <v>404</v>
      </c>
      <c r="B24" s="317">
        <f>$D$17</f>
        <v>0.004600095171229928</v>
      </c>
      <c r="C24" s="1064">
        <v>1</v>
      </c>
      <c r="D24" s="288">
        <f>$C$5</f>
        <v>1</v>
      </c>
      <c r="E24" s="288">
        <f>C24*D24</f>
        <v>1</v>
      </c>
      <c r="F24" s="318">
        <f>B24*E24</f>
        <v>0.004600095171229928</v>
      </c>
    </row>
    <row r="25" spans="1:6" ht="16.5" thickBot="1">
      <c r="A25" s="170" t="s">
        <v>405</v>
      </c>
      <c r="B25" s="319">
        <f>$D$18</f>
        <v>0.00811688311688312</v>
      </c>
      <c r="C25" s="1065"/>
      <c r="D25" s="320">
        <f>$C$5</f>
        <v>1</v>
      </c>
      <c r="E25" s="320">
        <f>C25*D25</f>
        <v>0</v>
      </c>
      <c r="F25" s="321">
        <f>B25*E25</f>
        <v>0</v>
      </c>
    </row>
    <row r="26" spans="1:6" ht="16.5" thickBot="1">
      <c r="A26" s="322" t="s">
        <v>406</v>
      </c>
      <c r="B26" s="323"/>
      <c r="C26" s="323">
        <f>SUM(C22:C25)</f>
        <v>4</v>
      </c>
      <c r="D26" s="323"/>
      <c r="E26" s="323">
        <f>SUM(E22:E25)</f>
        <v>4</v>
      </c>
      <c r="F26" s="324">
        <f>SUM(F22:F25)</f>
        <v>0.010223575797268313</v>
      </c>
    </row>
    <row r="27" spans="2:6" ht="13.5" thickBot="1">
      <c r="B27" s="10"/>
      <c r="C27" s="10"/>
      <c r="D27" s="10"/>
      <c r="E27" s="10"/>
      <c r="F27" s="10"/>
    </row>
    <row r="28" spans="1:6" ht="45" thickBot="1">
      <c r="A28" s="1080" t="s">
        <v>407</v>
      </c>
      <c r="B28" s="1081" t="str">
        <f>$B$21</f>
        <v>RP                       (=z . rf/n)</v>
      </c>
      <c r="C28" s="1082" t="s">
        <v>399</v>
      </c>
      <c r="D28" s="1083" t="s">
        <v>379</v>
      </c>
      <c r="E28" s="1083" t="s">
        <v>400</v>
      </c>
      <c r="F28" s="1084" t="s">
        <v>401</v>
      </c>
    </row>
    <row r="29" spans="1:6" ht="15.75">
      <c r="A29" s="140" t="s">
        <v>402</v>
      </c>
      <c r="B29" s="314">
        <f>$H$5*C$15</f>
        <v>0.0009173450975215704</v>
      </c>
      <c r="C29" s="1066"/>
      <c r="D29" s="315">
        <f>$C$6</f>
        <v>1</v>
      </c>
      <c r="E29" s="315">
        <f>C29*D29</f>
        <v>0</v>
      </c>
      <c r="F29" s="316">
        <f>B29*E29</f>
        <v>0</v>
      </c>
    </row>
    <row r="30" spans="1:6" ht="15.75">
      <c r="A30" s="100" t="s">
        <v>403</v>
      </c>
      <c r="B30" s="317">
        <f>$H$5*C$16</f>
        <v>0.0023530677642584065</v>
      </c>
      <c r="C30" s="1067">
        <v>2</v>
      </c>
      <c r="D30" s="288">
        <f>$C$6</f>
        <v>1</v>
      </c>
      <c r="E30" s="288">
        <f>C30*D30</f>
        <v>2</v>
      </c>
      <c r="F30" s="318">
        <f>B30*E30</f>
        <v>0.004706135528516813</v>
      </c>
    </row>
    <row r="31" spans="1:6" ht="15.75">
      <c r="A31" s="100" t="s">
        <v>404</v>
      </c>
      <c r="B31" s="317">
        <f>$H$5*C$17</f>
        <v>0.004600095171229928</v>
      </c>
      <c r="C31" s="1067">
        <v>1</v>
      </c>
      <c r="D31" s="288">
        <f>$C$6</f>
        <v>1</v>
      </c>
      <c r="E31" s="288">
        <f>C31*D31</f>
        <v>1</v>
      </c>
      <c r="F31" s="318">
        <f>B31*E31</f>
        <v>0.004600095171229928</v>
      </c>
    </row>
    <row r="32" spans="1:6" ht="16.5" thickBot="1">
      <c r="A32" s="170" t="s">
        <v>405</v>
      </c>
      <c r="B32" s="319">
        <f>$H$5*C$18</f>
        <v>0.00811688311688312</v>
      </c>
      <c r="C32" s="1068"/>
      <c r="D32" s="320">
        <f>$C$6</f>
        <v>1</v>
      </c>
      <c r="E32" s="320">
        <f>C32*D32</f>
        <v>0</v>
      </c>
      <c r="F32" s="321">
        <f>B32*E32</f>
        <v>0</v>
      </c>
    </row>
    <row r="33" spans="1:6" ht="16.5" thickBot="1">
      <c r="A33" s="322" t="s">
        <v>406</v>
      </c>
      <c r="B33" s="323"/>
      <c r="C33" s="323">
        <f>SUM(C29:C32)</f>
        <v>3</v>
      </c>
      <c r="D33" s="323"/>
      <c r="E33" s="323">
        <f>SUM(E29:E32)</f>
        <v>3</v>
      </c>
      <c r="F33" s="324">
        <f>SUM(F29:F32)</f>
        <v>0.009306230699746742</v>
      </c>
    </row>
    <row r="34" spans="1:6" s="31" customFormat="1" ht="16.5" thickBot="1">
      <c r="A34" s="325"/>
      <c r="B34" s="326"/>
      <c r="C34" s="326"/>
      <c r="D34" s="326"/>
      <c r="E34" s="326"/>
      <c r="F34" s="326"/>
    </row>
    <row r="35" spans="1:6" ht="45" thickBot="1">
      <c r="A35" s="1080" t="s">
        <v>384</v>
      </c>
      <c r="B35" s="1081" t="str">
        <f>$B$21</f>
        <v>RP                       (=z . rf/n)</v>
      </c>
      <c r="C35" s="1082" t="s">
        <v>399</v>
      </c>
      <c r="D35" s="1083" t="s">
        <v>379</v>
      </c>
      <c r="E35" s="1083" t="s">
        <v>400</v>
      </c>
      <c r="F35" s="1084" t="s">
        <v>401</v>
      </c>
    </row>
    <row r="36" spans="1:6" ht="15.75">
      <c r="A36" s="140" t="s">
        <v>402</v>
      </c>
      <c r="B36" s="314">
        <f>$H$5*C$15</f>
        <v>0.0009173450975215704</v>
      </c>
      <c r="C36" s="1066"/>
      <c r="D36" s="315">
        <f>$C$7</f>
        <v>1</v>
      </c>
      <c r="E36" s="315">
        <f>C36*D36</f>
        <v>0</v>
      </c>
      <c r="F36" s="316">
        <f>B36*E36</f>
        <v>0</v>
      </c>
    </row>
    <row r="37" spans="1:6" ht="15.75">
      <c r="A37" s="100" t="s">
        <v>403</v>
      </c>
      <c r="B37" s="317">
        <f>$H$5*C$16</f>
        <v>0.0023530677642584065</v>
      </c>
      <c r="C37" s="1067">
        <v>3</v>
      </c>
      <c r="D37" s="288">
        <f>$C$7</f>
        <v>1</v>
      </c>
      <c r="E37" s="288">
        <f>C37*D37</f>
        <v>3</v>
      </c>
      <c r="F37" s="318">
        <f>B37*E37</f>
        <v>0.007059203292775219</v>
      </c>
    </row>
    <row r="38" spans="1:6" ht="15.75">
      <c r="A38" s="100" t="s">
        <v>404</v>
      </c>
      <c r="B38" s="317">
        <f>$H$5*C$17</f>
        <v>0.004600095171229928</v>
      </c>
      <c r="C38" s="1067">
        <v>1</v>
      </c>
      <c r="D38" s="288">
        <f>$C$7</f>
        <v>1</v>
      </c>
      <c r="E38" s="288">
        <f>C38*D38</f>
        <v>1</v>
      </c>
      <c r="F38" s="318">
        <f>B38*E38</f>
        <v>0.004600095171229928</v>
      </c>
    </row>
    <row r="39" spans="1:6" ht="16.5" thickBot="1">
      <c r="A39" s="170" t="s">
        <v>405</v>
      </c>
      <c r="B39" s="319">
        <f>$H$5*C$18</f>
        <v>0.00811688311688312</v>
      </c>
      <c r="C39" s="1068">
        <v>2</v>
      </c>
      <c r="D39" s="320">
        <f>$C$7</f>
        <v>1</v>
      </c>
      <c r="E39" s="320">
        <f>C39*D39</f>
        <v>2</v>
      </c>
      <c r="F39" s="321">
        <f>B39*E39</f>
        <v>0.01623376623376624</v>
      </c>
    </row>
    <row r="40" spans="1:6" ht="16.5" thickBot="1">
      <c r="A40" s="322" t="s">
        <v>406</v>
      </c>
      <c r="B40" s="323"/>
      <c r="C40" s="323">
        <f>SUM(C36:C39)</f>
        <v>6</v>
      </c>
      <c r="D40" s="323"/>
      <c r="E40" s="323">
        <f>SUM(E36:E39)</f>
        <v>6</v>
      </c>
      <c r="F40" s="324">
        <f>SUM(F36:F39)</f>
        <v>0.027893064697771384</v>
      </c>
    </row>
    <row r="41" spans="2:6" ht="13.5" thickBot="1">
      <c r="B41" s="10"/>
      <c r="C41" s="10"/>
      <c r="D41" s="10"/>
      <c r="E41" s="10"/>
      <c r="F41" s="10"/>
    </row>
    <row r="42" spans="1:6" ht="45" thickBot="1">
      <c r="A42" s="1080" t="s">
        <v>385</v>
      </c>
      <c r="B42" s="1081" t="str">
        <f>$B$21</f>
        <v>RP                       (=z . rf/n)</v>
      </c>
      <c r="C42" s="1082" t="s">
        <v>399</v>
      </c>
      <c r="D42" s="1083" t="s">
        <v>379</v>
      </c>
      <c r="E42" s="1083" t="s">
        <v>400</v>
      </c>
      <c r="F42" s="1084" t="s">
        <v>401</v>
      </c>
    </row>
    <row r="43" spans="1:6" ht="15.75">
      <c r="A43" s="140" t="s">
        <v>402</v>
      </c>
      <c r="B43" s="314">
        <f>$H$5*C$15</f>
        <v>0.0009173450975215704</v>
      </c>
      <c r="C43" s="1066"/>
      <c r="D43" s="315">
        <f>$C$8</f>
        <v>1</v>
      </c>
      <c r="E43" s="315">
        <f>C43*D43</f>
        <v>0</v>
      </c>
      <c r="F43" s="316">
        <f>B43*E43</f>
        <v>0</v>
      </c>
    </row>
    <row r="44" spans="1:6" ht="15.75">
      <c r="A44" s="100" t="s">
        <v>403</v>
      </c>
      <c r="B44" s="317">
        <f>$H$5*C$16</f>
        <v>0.0023530677642584065</v>
      </c>
      <c r="C44" s="1067">
        <v>2</v>
      </c>
      <c r="D44" s="288">
        <f>$C$8</f>
        <v>1</v>
      </c>
      <c r="E44" s="288">
        <f>C44*D44</f>
        <v>2</v>
      </c>
      <c r="F44" s="318">
        <f>B44*E44</f>
        <v>0.004706135528516813</v>
      </c>
    </row>
    <row r="45" spans="1:6" ht="15.75">
      <c r="A45" s="100" t="s">
        <v>404</v>
      </c>
      <c r="B45" s="317">
        <f>$H$5*C$17</f>
        <v>0.004600095171229928</v>
      </c>
      <c r="C45" s="1067"/>
      <c r="D45" s="288">
        <f>$C$8</f>
        <v>1</v>
      </c>
      <c r="E45" s="288">
        <f>C45*D45</f>
        <v>0</v>
      </c>
      <c r="F45" s="318">
        <f>B45*E45</f>
        <v>0</v>
      </c>
    </row>
    <row r="46" spans="1:6" ht="16.5" thickBot="1">
      <c r="A46" s="170" t="s">
        <v>405</v>
      </c>
      <c r="B46" s="319">
        <f>$H$5*C$18</f>
        <v>0.00811688311688312</v>
      </c>
      <c r="C46" s="1068">
        <v>1</v>
      </c>
      <c r="D46" s="320">
        <f>$C$8</f>
        <v>1</v>
      </c>
      <c r="E46" s="320">
        <f>C46*D46</f>
        <v>1</v>
      </c>
      <c r="F46" s="321">
        <f>B46*E46</f>
        <v>0.00811688311688312</v>
      </c>
    </row>
    <row r="47" spans="1:6" ht="16.5" thickBot="1">
      <c r="A47" s="322" t="s">
        <v>406</v>
      </c>
      <c r="B47" s="323"/>
      <c r="C47" s="323">
        <f>SUM(C43:C46)</f>
        <v>3</v>
      </c>
      <c r="D47" s="323"/>
      <c r="E47" s="323">
        <f>SUM(E43:E46)</f>
        <v>3</v>
      </c>
      <c r="F47" s="324">
        <f>SUM(F43:F46)</f>
        <v>0.012823018645399933</v>
      </c>
    </row>
    <row r="48" spans="2:6" ht="13.5" thickBot="1">
      <c r="B48" s="10"/>
      <c r="C48" s="10"/>
      <c r="D48" s="10"/>
      <c r="E48" s="10"/>
      <c r="F48" s="10"/>
    </row>
    <row r="49" spans="1:6" ht="45" thickBot="1">
      <c r="A49" s="1080" t="s">
        <v>386</v>
      </c>
      <c r="B49" s="1081" t="str">
        <f>$B$21</f>
        <v>RP                       (=z . rf/n)</v>
      </c>
      <c r="C49" s="1082" t="s">
        <v>399</v>
      </c>
      <c r="D49" s="1083" t="s">
        <v>379</v>
      </c>
      <c r="E49" s="1083" t="s">
        <v>400</v>
      </c>
      <c r="F49" s="1084" t="s">
        <v>401</v>
      </c>
    </row>
    <row r="50" spans="1:6" ht="15.75">
      <c r="A50" s="140" t="s">
        <v>402</v>
      </c>
      <c r="B50" s="314">
        <f>$H$5*C$15</f>
        <v>0.0009173450975215704</v>
      </c>
      <c r="C50" s="1066">
        <v>1</v>
      </c>
      <c r="D50" s="315">
        <f>$C$9</f>
        <v>1</v>
      </c>
      <c r="E50" s="315">
        <f>C50*D50</f>
        <v>1</v>
      </c>
      <c r="F50" s="316">
        <f>B50*E50</f>
        <v>0.0009173450975215704</v>
      </c>
    </row>
    <row r="51" spans="1:6" ht="15.75">
      <c r="A51" s="100" t="s">
        <v>403</v>
      </c>
      <c r="B51" s="317">
        <f>$H$5*C$16</f>
        <v>0.0023530677642584065</v>
      </c>
      <c r="C51" s="1067">
        <v>2</v>
      </c>
      <c r="D51" s="288">
        <f>$C$9</f>
        <v>1</v>
      </c>
      <c r="E51" s="288">
        <f>C51*D51</f>
        <v>2</v>
      </c>
      <c r="F51" s="318">
        <f>B51*E51</f>
        <v>0.004706135528516813</v>
      </c>
    </row>
    <row r="52" spans="1:6" ht="15.75">
      <c r="A52" s="100" t="s">
        <v>404</v>
      </c>
      <c r="B52" s="317">
        <f>$H$5*C$17</f>
        <v>0.004600095171229928</v>
      </c>
      <c r="C52" s="1067"/>
      <c r="D52" s="288">
        <f>$C$9</f>
        <v>1</v>
      </c>
      <c r="E52" s="288">
        <f>C52*D52</f>
        <v>0</v>
      </c>
      <c r="F52" s="318">
        <f>B52*E52</f>
        <v>0</v>
      </c>
    </row>
    <row r="53" spans="1:6" ht="16.5" thickBot="1">
      <c r="A53" s="170" t="s">
        <v>405</v>
      </c>
      <c r="B53" s="319">
        <f>$H$5*C$18</f>
        <v>0.00811688311688312</v>
      </c>
      <c r="C53" s="1068"/>
      <c r="D53" s="320">
        <f>$C$9</f>
        <v>1</v>
      </c>
      <c r="E53" s="320">
        <f>C53*D53</f>
        <v>0</v>
      </c>
      <c r="F53" s="321">
        <f>B53*E53</f>
        <v>0</v>
      </c>
    </row>
    <row r="54" spans="1:6" ht="16.5" thickBot="1">
      <c r="A54" s="322" t="s">
        <v>406</v>
      </c>
      <c r="B54" s="323"/>
      <c r="C54" s="323">
        <f>SUM(C50:C53)</f>
        <v>3</v>
      </c>
      <c r="D54" s="323"/>
      <c r="E54" s="323">
        <f>SUM(E50:E53)</f>
        <v>3</v>
      </c>
      <c r="F54" s="324">
        <f>SUM(F50:F53)</f>
        <v>0.005623480626038384</v>
      </c>
    </row>
    <row r="55" spans="2:6" ht="13.5" thickBot="1">
      <c r="B55" s="10"/>
      <c r="C55" s="10"/>
      <c r="D55" s="10"/>
      <c r="E55" s="10"/>
      <c r="F55" s="10"/>
    </row>
    <row r="56" spans="1:6" ht="45" thickBot="1">
      <c r="A56" s="1080" t="s">
        <v>574</v>
      </c>
      <c r="B56" s="1081" t="str">
        <f>$B$21</f>
        <v>RP                       (=z . rf/n)</v>
      </c>
      <c r="C56" s="1082" t="s">
        <v>399</v>
      </c>
      <c r="D56" s="1083" t="s">
        <v>379</v>
      </c>
      <c r="E56" s="1083" t="s">
        <v>400</v>
      </c>
      <c r="F56" s="1084" t="s">
        <v>401</v>
      </c>
    </row>
    <row r="57" spans="1:6" ht="15.75">
      <c r="A57" s="140" t="s">
        <v>402</v>
      </c>
      <c r="B57" s="314">
        <f>$H$5*C$15</f>
        <v>0.0009173450975215704</v>
      </c>
      <c r="C57" s="1066"/>
      <c r="D57" s="315">
        <f>$C$10</f>
        <v>1</v>
      </c>
      <c r="E57" s="315">
        <f>C57*D57</f>
        <v>0</v>
      </c>
      <c r="F57" s="316">
        <f>B57*E57</f>
        <v>0</v>
      </c>
    </row>
    <row r="58" spans="1:6" ht="15.75">
      <c r="A58" s="100" t="s">
        <v>403</v>
      </c>
      <c r="B58" s="317">
        <f>$H$5*C$16</f>
        <v>0.0023530677642584065</v>
      </c>
      <c r="C58" s="1067">
        <v>2</v>
      </c>
      <c r="D58" s="288">
        <f>$C$10</f>
        <v>1</v>
      </c>
      <c r="E58" s="288">
        <f>C58*D58</f>
        <v>2</v>
      </c>
      <c r="F58" s="318">
        <f>B58*E58</f>
        <v>0.004706135528516813</v>
      </c>
    </row>
    <row r="59" spans="1:6" ht="15.75">
      <c r="A59" s="100" t="s">
        <v>404</v>
      </c>
      <c r="B59" s="317">
        <f>$H$5*C$17</f>
        <v>0.004600095171229928</v>
      </c>
      <c r="C59" s="1067">
        <v>2</v>
      </c>
      <c r="D59" s="288">
        <f>$C$10</f>
        <v>1</v>
      </c>
      <c r="E59" s="288">
        <f>C59*D59</f>
        <v>2</v>
      </c>
      <c r="F59" s="318">
        <f>B59*E59</f>
        <v>0.009200190342459856</v>
      </c>
    </row>
    <row r="60" spans="1:6" ht="16.5" thickBot="1">
      <c r="A60" s="170" t="s">
        <v>405</v>
      </c>
      <c r="B60" s="319">
        <f>$H$5*C$18</f>
        <v>0.00811688311688312</v>
      </c>
      <c r="C60" s="1068"/>
      <c r="D60" s="320">
        <f>$C$10</f>
        <v>1</v>
      </c>
      <c r="E60" s="320">
        <f>C60*D60</f>
        <v>0</v>
      </c>
      <c r="F60" s="321">
        <f>B60*E60</f>
        <v>0</v>
      </c>
    </row>
    <row r="61" spans="1:6" ht="16.5" thickBot="1">
      <c r="A61" s="322" t="s">
        <v>406</v>
      </c>
      <c r="B61" s="323"/>
      <c r="C61" s="323">
        <f>SUM(C57:C60)</f>
        <v>4</v>
      </c>
      <c r="D61" s="323"/>
      <c r="E61" s="323">
        <f>SUM(E57:E60)</f>
        <v>4</v>
      </c>
      <c r="F61" s="324">
        <f>SUM(F57:F60)</f>
        <v>0.01390632587097667</v>
      </c>
    </row>
    <row r="62" spans="1:6" ht="15.75">
      <c r="A62" s="325"/>
      <c r="B62" s="327"/>
      <c r="C62" s="327"/>
      <c r="D62" s="327"/>
      <c r="E62" s="327"/>
      <c r="F62" s="328"/>
    </row>
    <row r="63" ht="16.5" thickBot="1">
      <c r="A63" s="1092" t="s">
        <v>408</v>
      </c>
    </row>
    <row r="64" spans="1:6" ht="45" thickBot="1">
      <c r="A64" s="1080" t="s">
        <v>409</v>
      </c>
      <c r="B64" s="1081" t="str">
        <f>$B$21</f>
        <v>RP                       (=z . rf/n)</v>
      </c>
      <c r="C64" s="1082" t="s">
        <v>399</v>
      </c>
      <c r="D64" s="1083" t="s">
        <v>379</v>
      </c>
      <c r="E64" s="1083" t="s">
        <v>400</v>
      </c>
      <c r="F64" s="1084" t="s">
        <v>401</v>
      </c>
    </row>
    <row r="65" spans="1:6" ht="15.75">
      <c r="A65" s="140" t="s">
        <v>402</v>
      </c>
      <c r="B65" s="314">
        <f>$H$5*C$15</f>
        <v>0.0009173450975215704</v>
      </c>
      <c r="C65" s="1066"/>
      <c r="D65" s="315">
        <f>$C$11</f>
        <v>1.3</v>
      </c>
      <c r="E65" s="315">
        <f>C65*D65</f>
        <v>0</v>
      </c>
      <c r="F65" s="316">
        <f>B65*E65</f>
        <v>0</v>
      </c>
    </row>
    <row r="66" spans="1:6" ht="15.75">
      <c r="A66" s="100" t="s">
        <v>403</v>
      </c>
      <c r="B66" s="317">
        <f>$H$5*C$16</f>
        <v>0.0023530677642584065</v>
      </c>
      <c r="C66" s="1067">
        <v>3</v>
      </c>
      <c r="D66" s="288">
        <f>$C$11</f>
        <v>1.3</v>
      </c>
      <c r="E66" s="288">
        <f>C66*D66</f>
        <v>3.9000000000000004</v>
      </c>
      <c r="F66" s="318">
        <f>B66*E66</f>
        <v>0.009176964280607786</v>
      </c>
    </row>
    <row r="67" spans="1:6" ht="15.75">
      <c r="A67" s="100" t="s">
        <v>404</v>
      </c>
      <c r="B67" s="317">
        <f>$H$5*C$17</f>
        <v>0.004600095171229928</v>
      </c>
      <c r="C67" s="1067">
        <v>1</v>
      </c>
      <c r="D67" s="288">
        <f>$C$11</f>
        <v>1.3</v>
      </c>
      <c r="E67" s="288">
        <f>C67*D67</f>
        <v>1.3</v>
      </c>
      <c r="F67" s="318">
        <f>B67*E67</f>
        <v>0.0059801237225989064</v>
      </c>
    </row>
    <row r="68" spans="1:6" ht="16.5" thickBot="1">
      <c r="A68" s="170" t="s">
        <v>405</v>
      </c>
      <c r="B68" s="319">
        <f>$H$5*C$18</f>
        <v>0.00811688311688312</v>
      </c>
      <c r="C68" s="1068">
        <v>2</v>
      </c>
      <c r="D68" s="320">
        <f>$C$11</f>
        <v>1.3</v>
      </c>
      <c r="E68" s="320">
        <f>C68*D68</f>
        <v>2.6</v>
      </c>
      <c r="F68" s="321">
        <f>B68*E68</f>
        <v>0.02110389610389611</v>
      </c>
    </row>
    <row r="69" spans="1:6" ht="16.5" thickBot="1">
      <c r="A69" s="322" t="s">
        <v>406</v>
      </c>
      <c r="B69" s="323"/>
      <c r="C69" s="323">
        <f>SUM(C65:C68)</f>
        <v>6</v>
      </c>
      <c r="D69" s="323"/>
      <c r="E69" s="323">
        <f>SUM(E65:E68)</f>
        <v>7.800000000000001</v>
      </c>
      <c r="F69" s="324">
        <f>SUM(F65:F68)</f>
        <v>0.0362609841071028</v>
      </c>
    </row>
    <row r="71" ht="15.75">
      <c r="A71" s="1092" t="s">
        <v>410</v>
      </c>
    </row>
    <row r="73" spans="1:4" ht="12.75">
      <c r="A73" s="1085" t="s">
        <v>411</v>
      </c>
      <c r="B73" s="1086"/>
      <c r="C73" s="1086"/>
      <c r="D73" s="1087">
        <f>H4</f>
        <v>0.05</v>
      </c>
    </row>
    <row r="74" spans="1:4" ht="15.75">
      <c r="A74" s="330" t="s">
        <v>382</v>
      </c>
      <c r="B74" s="331">
        <f>F26</f>
        <v>0.010223575797268313</v>
      </c>
      <c r="C74" s="331"/>
      <c r="D74" s="332"/>
    </row>
    <row r="75" spans="1:4" ht="15.75">
      <c r="A75" s="333" t="s">
        <v>383</v>
      </c>
      <c r="B75" s="334">
        <f>F33</f>
        <v>0.009306230699746742</v>
      </c>
      <c r="C75" s="334"/>
      <c r="D75" s="335"/>
    </row>
    <row r="76" spans="1:4" ht="15.75">
      <c r="A76" s="333" t="s">
        <v>384</v>
      </c>
      <c r="B76" s="334">
        <f>F40</f>
        <v>0.027893064697771384</v>
      </c>
      <c r="C76" s="334"/>
      <c r="D76" s="335"/>
    </row>
    <row r="77" spans="1:4" ht="15.75">
      <c r="A77" s="333" t="s">
        <v>385</v>
      </c>
      <c r="B77" s="334">
        <f>F47</f>
        <v>0.012823018645399933</v>
      </c>
      <c r="C77" s="334"/>
      <c r="D77" s="335"/>
    </row>
    <row r="78" spans="1:4" ht="15.75">
      <c r="A78" s="333" t="s">
        <v>386</v>
      </c>
      <c r="B78" s="334">
        <f>F54</f>
        <v>0.005623480626038384</v>
      </c>
      <c r="C78" s="334"/>
      <c r="D78" s="335"/>
    </row>
    <row r="79" spans="1:4" ht="15.75">
      <c r="A79" s="333" t="s">
        <v>387</v>
      </c>
      <c r="B79" s="334">
        <f>F61</f>
        <v>0.01390632587097667</v>
      </c>
      <c r="C79" s="334"/>
      <c r="D79" s="335"/>
    </row>
    <row r="80" spans="1:4" ht="15.75">
      <c r="A80" s="333" t="s">
        <v>412</v>
      </c>
      <c r="B80" s="334"/>
      <c r="C80" s="334">
        <f>SUM(B74:B79)</f>
        <v>0.07977569633720144</v>
      </c>
      <c r="D80" s="335"/>
    </row>
    <row r="81" spans="1:4" ht="15.75">
      <c r="A81" s="333" t="s">
        <v>413</v>
      </c>
      <c r="B81" s="334"/>
      <c r="C81" s="334">
        <f>F69</f>
        <v>0.0362609841071028</v>
      </c>
      <c r="D81" s="335"/>
    </row>
    <row r="82" spans="1:4" ht="12.75">
      <c r="A82" s="1088" t="s">
        <v>414</v>
      </c>
      <c r="B82" s="1089"/>
      <c r="C82" s="1089"/>
      <c r="D82" s="1090">
        <f>C80+C81</f>
        <v>0.11603668044430424</v>
      </c>
    </row>
    <row r="83" spans="1:4" ht="12.75">
      <c r="A83" s="1085" t="s">
        <v>415</v>
      </c>
      <c r="B83" s="1086"/>
      <c r="C83" s="1086"/>
      <c r="D83" s="1091">
        <f>'19 nVK - CAPM'!B14</f>
        <v>0.015</v>
      </c>
    </row>
    <row r="84" spans="1:4" ht="15.75">
      <c r="A84" s="1069" t="s">
        <v>416</v>
      </c>
      <c r="B84" s="1070"/>
      <c r="C84" s="1070"/>
      <c r="D84" s="1071">
        <f>SUM(D73:D83)</f>
        <v>0.18103668044430427</v>
      </c>
    </row>
  </sheetData>
  <hyperlinks>
    <hyperlink ref="H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 topLeftCell="A49">
      <selection activeCell="A49" sqref="A49"/>
    </sheetView>
  </sheetViews>
  <sheetFormatPr defaultColWidth="9.00390625" defaultRowHeight="12.75"/>
  <cols>
    <col min="1" max="1" width="34.00390625" style="0" customWidth="1"/>
    <col min="2" max="2" width="11.375" style="0" bestFit="1" customWidth="1"/>
  </cols>
  <sheetData>
    <row r="1" spans="1:7" ht="15.75">
      <c r="A1" s="1028" t="s">
        <v>701</v>
      </c>
      <c r="G1" s="1248" t="s">
        <v>785</v>
      </c>
    </row>
    <row r="2" ht="9" customHeight="1"/>
    <row r="3" ht="15.75">
      <c r="A3" s="572" t="s">
        <v>541</v>
      </c>
    </row>
    <row r="4" ht="12.75">
      <c r="A4" s="570" t="s">
        <v>544</v>
      </c>
    </row>
    <row r="5" ht="8.25" customHeight="1">
      <c r="B5" s="571"/>
    </row>
    <row r="6" spans="1:3" ht="12.75">
      <c r="A6" s="991" t="s">
        <v>527</v>
      </c>
      <c r="B6" s="1093">
        <f>'18 Plán'!B123+'18 Plán'!B131</f>
        <v>290935.24788606004</v>
      </c>
      <c r="C6" s="332" t="s">
        <v>336</v>
      </c>
    </row>
    <row r="7" spans="1:3" ht="12.75">
      <c r="A7" s="254" t="s">
        <v>528</v>
      </c>
      <c r="B7" s="85">
        <f>'18 Plán'!B133</f>
        <v>12770</v>
      </c>
      <c r="C7" s="335" t="s">
        <v>336</v>
      </c>
    </row>
    <row r="8" spans="1:3" ht="12.75">
      <c r="A8" s="254" t="s">
        <v>61</v>
      </c>
      <c r="B8" s="85">
        <f>'18 Plán'!B140</f>
        <v>69882</v>
      </c>
      <c r="C8" s="335" t="s">
        <v>336</v>
      </c>
    </row>
    <row r="9" spans="1:3" ht="12.75">
      <c r="A9" s="254" t="s">
        <v>529</v>
      </c>
      <c r="B9" s="85">
        <f>'18 Plán'!B141</f>
        <v>36494</v>
      </c>
      <c r="C9" s="335" t="s">
        <v>336</v>
      </c>
    </row>
    <row r="10" spans="1:3" ht="12.75">
      <c r="A10" s="195" t="s">
        <v>530</v>
      </c>
      <c r="B10" s="113">
        <f>SUM(B6:B9)</f>
        <v>410081.24788606004</v>
      </c>
      <c r="C10" s="98" t="s">
        <v>336</v>
      </c>
    </row>
    <row r="12" ht="12.75">
      <c r="A12" s="570" t="s">
        <v>575</v>
      </c>
    </row>
    <row r="13" ht="6" customHeight="1"/>
    <row r="14" ht="12.75">
      <c r="A14" s="1" t="s">
        <v>38</v>
      </c>
    </row>
    <row r="15" spans="1:3" ht="12.75">
      <c r="A15" s="991" t="s">
        <v>545</v>
      </c>
      <c r="B15" s="1093">
        <f>'18 Plán'!B124</f>
        <v>150000</v>
      </c>
      <c r="C15" s="332" t="s">
        <v>538</v>
      </c>
    </row>
    <row r="16" spans="1:3" ht="12.75">
      <c r="A16" s="254" t="s">
        <v>533</v>
      </c>
      <c r="B16" s="85">
        <v>1000</v>
      </c>
      <c r="C16" s="335" t="s">
        <v>534</v>
      </c>
    </row>
    <row r="17" spans="1:3" ht="12.75">
      <c r="A17" s="165" t="s">
        <v>576</v>
      </c>
      <c r="B17" s="574">
        <v>2000</v>
      </c>
      <c r="C17" s="909" t="s">
        <v>534</v>
      </c>
    </row>
    <row r="18" ht="9" customHeight="1"/>
    <row r="19" ht="12.75">
      <c r="A19" s="1" t="s">
        <v>528</v>
      </c>
    </row>
    <row r="20" spans="1:3" ht="12.75">
      <c r="A20" s="991" t="s">
        <v>549</v>
      </c>
      <c r="B20" s="1048">
        <v>5</v>
      </c>
      <c r="C20" s="332" t="s">
        <v>532</v>
      </c>
    </row>
    <row r="21" spans="1:3" ht="12.75">
      <c r="A21" s="254" t="s">
        <v>537</v>
      </c>
      <c r="B21" s="85">
        <f>B7</f>
        <v>12770</v>
      </c>
      <c r="C21" s="335" t="s">
        <v>538</v>
      </c>
    </row>
    <row r="22" spans="1:3" ht="12.75">
      <c r="A22" s="254" t="s">
        <v>533</v>
      </c>
      <c r="B22" s="85">
        <v>1000</v>
      </c>
      <c r="C22" s="335" t="s">
        <v>534</v>
      </c>
    </row>
    <row r="23" spans="1:3" ht="12.75">
      <c r="A23" s="254" t="s">
        <v>535</v>
      </c>
      <c r="B23" s="85">
        <v>980</v>
      </c>
      <c r="C23" s="335" t="s">
        <v>534</v>
      </c>
    </row>
    <row r="24" spans="1:3" ht="12.75">
      <c r="A24" s="165" t="s">
        <v>536</v>
      </c>
      <c r="B24" s="1095">
        <v>0.085</v>
      </c>
      <c r="C24" s="909"/>
    </row>
    <row r="25" ht="9" customHeight="1"/>
    <row r="26" ht="12.75">
      <c r="A26" s="1" t="s">
        <v>61</v>
      </c>
    </row>
    <row r="27" spans="1:3" ht="12.75">
      <c r="A27" s="991" t="s">
        <v>539</v>
      </c>
      <c r="B27" s="1096">
        <v>0.09</v>
      </c>
      <c r="C27" s="332"/>
    </row>
    <row r="28" spans="1:3" ht="12.75">
      <c r="A28" s="165" t="s">
        <v>531</v>
      </c>
      <c r="B28" s="574">
        <v>8</v>
      </c>
      <c r="C28" s="909" t="s">
        <v>532</v>
      </c>
    </row>
    <row r="29" ht="8.25" customHeight="1">
      <c r="B29" s="15"/>
    </row>
    <row r="30" ht="12.75">
      <c r="A30" s="1" t="s">
        <v>529</v>
      </c>
    </row>
    <row r="31" spans="1:3" ht="12.75">
      <c r="A31" s="991" t="s">
        <v>539</v>
      </c>
      <c r="B31" s="1096">
        <v>0.06</v>
      </c>
      <c r="C31" s="332"/>
    </row>
    <row r="32" spans="1:3" ht="12.75">
      <c r="A32" s="165" t="s">
        <v>531</v>
      </c>
      <c r="B32" s="336">
        <v>1</v>
      </c>
      <c r="C32" s="909" t="s">
        <v>540</v>
      </c>
    </row>
    <row r="34" ht="15.75">
      <c r="A34" s="572" t="s">
        <v>542</v>
      </c>
    </row>
    <row r="35" ht="7.5" customHeight="1"/>
    <row r="36" ht="12.75">
      <c r="A36" s="570" t="s">
        <v>543</v>
      </c>
    </row>
    <row r="37" spans="1:3" ht="12.75">
      <c r="A37" s="949" t="s">
        <v>702</v>
      </c>
      <c r="B37" s="1010" t="s">
        <v>336</v>
      </c>
      <c r="C37" s="1100" t="s">
        <v>548</v>
      </c>
    </row>
    <row r="38" spans="1:3" ht="12.75">
      <c r="A38" s="195" t="s">
        <v>38</v>
      </c>
      <c r="B38" s="109">
        <f>B15*B17/1000</f>
        <v>300000</v>
      </c>
      <c r="C38" s="191">
        <f aca="true" t="shared" si="0" ref="C38:C43">B38/$B$43</f>
        <v>0.7161774458534043</v>
      </c>
    </row>
    <row r="39" spans="1:3" ht="12.75">
      <c r="A39" s="254" t="s">
        <v>528</v>
      </c>
      <c r="B39" s="611">
        <f>B21*B23/1000</f>
        <v>12514.6</v>
      </c>
      <c r="C39" s="192">
        <f t="shared" si="0"/>
        <v>0.029875580879590042</v>
      </c>
    </row>
    <row r="40" spans="1:3" ht="12.75">
      <c r="A40" s="254" t="s">
        <v>61</v>
      </c>
      <c r="B40" s="611">
        <f>B8</f>
        <v>69882</v>
      </c>
      <c r="C40" s="192">
        <f t="shared" si="0"/>
        <v>0.16682637423709198</v>
      </c>
    </row>
    <row r="41" spans="1:3" ht="12.75">
      <c r="A41" s="254" t="s">
        <v>529</v>
      </c>
      <c r="B41" s="611">
        <f>B9</f>
        <v>36494</v>
      </c>
      <c r="C41" s="192">
        <f t="shared" si="0"/>
        <v>0.08712059902991379</v>
      </c>
    </row>
    <row r="42" spans="1:3" ht="12.75">
      <c r="A42" s="1099" t="s">
        <v>546</v>
      </c>
      <c r="B42" s="924">
        <f>SUM(B39:B41)</f>
        <v>118890.6</v>
      </c>
      <c r="C42" s="1098">
        <f t="shared" si="0"/>
        <v>0.2838225541465958</v>
      </c>
    </row>
    <row r="43" spans="1:3" ht="12.75">
      <c r="A43" s="195" t="s">
        <v>547</v>
      </c>
      <c r="B43" s="109">
        <f>B38+B42</f>
        <v>418890.6</v>
      </c>
      <c r="C43" s="191">
        <f t="shared" si="0"/>
        <v>1</v>
      </c>
    </row>
    <row r="44" ht="9" customHeight="1"/>
    <row r="45" ht="12.75">
      <c r="A45" s="570" t="s">
        <v>483</v>
      </c>
    </row>
    <row r="46" ht="7.5" customHeight="1"/>
    <row r="47" spans="1:7" ht="12.75">
      <c r="A47" s="96" t="s">
        <v>550</v>
      </c>
      <c r="B47" s="183">
        <f>-B23</f>
        <v>-980</v>
      </c>
      <c r="C47" s="96">
        <f>B24*B22</f>
        <v>85</v>
      </c>
      <c r="D47" s="96">
        <f>C47</f>
        <v>85</v>
      </c>
      <c r="E47" s="96">
        <f>D47</f>
        <v>85</v>
      </c>
      <c r="F47" s="96">
        <f>E47</f>
        <v>85</v>
      </c>
      <c r="G47" s="95">
        <f>F47+B16</f>
        <v>1085</v>
      </c>
    </row>
    <row r="48" spans="2:7" ht="12.75">
      <c r="B48" s="26"/>
      <c r="G48" s="15"/>
    </row>
    <row r="49" spans="1:7" ht="25.5">
      <c r="A49" s="946" t="s">
        <v>702</v>
      </c>
      <c r="B49" s="1104" t="s">
        <v>552</v>
      </c>
      <c r="C49" s="948" t="s">
        <v>553</v>
      </c>
      <c r="D49" s="1105" t="s">
        <v>554</v>
      </c>
      <c r="G49" s="15"/>
    </row>
    <row r="50" spans="1:4" ht="12.75">
      <c r="A50" s="1102" t="s">
        <v>551</v>
      </c>
      <c r="B50" s="1103">
        <f>IRR(B47:G47,0.1)</f>
        <v>0.09014376734406156</v>
      </c>
      <c r="C50" s="611">
        <f>B39</f>
        <v>12514.6</v>
      </c>
      <c r="D50" s="599">
        <f>B50*C50</f>
        <v>1128.113190803993</v>
      </c>
    </row>
    <row r="51" spans="1:4" ht="12.75">
      <c r="A51" s="1102" t="s">
        <v>61</v>
      </c>
      <c r="B51" s="1103">
        <f>B27</f>
        <v>0.09</v>
      </c>
      <c r="C51" s="611">
        <f>B40</f>
        <v>69882</v>
      </c>
      <c r="D51" s="599">
        <f>B51*C51</f>
        <v>6289.38</v>
      </c>
    </row>
    <row r="52" spans="1:4" ht="12.75">
      <c r="A52" s="1102" t="s">
        <v>529</v>
      </c>
      <c r="B52" s="1103">
        <f>B31</f>
        <v>0.06</v>
      </c>
      <c r="C52" s="611">
        <f>B41</f>
        <v>36494</v>
      </c>
      <c r="D52" s="599">
        <f>B52*C52</f>
        <v>2189.64</v>
      </c>
    </row>
    <row r="53" spans="1:4" ht="12.75">
      <c r="A53" s="195" t="s">
        <v>406</v>
      </c>
      <c r="B53" s="1106"/>
      <c r="C53" s="109">
        <f>SUM(C50:C52)</f>
        <v>118890.6</v>
      </c>
      <c r="D53" s="1107">
        <f>SUM(D50:D52)</f>
        <v>9607.133190803992</v>
      </c>
    </row>
    <row r="54" spans="1:4" ht="12.75">
      <c r="A54" s="195" t="s">
        <v>555</v>
      </c>
      <c r="B54" s="190"/>
      <c r="C54" s="113"/>
      <c r="D54" s="1108">
        <f>D53/C53</f>
        <v>0.08080649934312714</v>
      </c>
    </row>
    <row r="55" ht="9" customHeight="1"/>
    <row r="56" ht="12.75">
      <c r="A56" s="570" t="s">
        <v>556</v>
      </c>
    </row>
    <row r="57" spans="1:4" ht="12.75">
      <c r="A57" s="110" t="s">
        <v>557</v>
      </c>
      <c r="B57" s="329"/>
      <c r="C57" s="329"/>
      <c r="D57" s="1108">
        <f>'19 nVK - CAPM'!B21</f>
        <v>0.144</v>
      </c>
    </row>
    <row r="58" spans="1:4" ht="12.75">
      <c r="A58" s="1050" t="s">
        <v>558</v>
      </c>
      <c r="B58" s="336"/>
      <c r="C58" s="336"/>
      <c r="D58" s="1109">
        <f>'20 nVK - Stavebnice'!D84</f>
        <v>0.18103668044430427</v>
      </c>
    </row>
    <row r="59" ht="9" customHeight="1"/>
    <row r="60" ht="12.75">
      <c r="A60" s="570" t="s">
        <v>559</v>
      </c>
    </row>
    <row r="61" spans="1:4" ht="12.75">
      <c r="A61" s="1101"/>
      <c r="B61" s="1213" t="s">
        <v>379</v>
      </c>
      <c r="C61" s="1010" t="s">
        <v>560</v>
      </c>
      <c r="D61" s="1100" t="s">
        <v>554</v>
      </c>
    </row>
    <row r="62" spans="1:4" ht="12.75">
      <c r="A62" s="254" t="s">
        <v>38</v>
      </c>
      <c r="B62" s="1110">
        <f>C38</f>
        <v>0.7161774458534043</v>
      </c>
      <c r="C62" s="1216">
        <f>D57</f>
        <v>0.144</v>
      </c>
      <c r="D62" s="1111">
        <f>B62*C62</f>
        <v>0.1031295522028902</v>
      </c>
    </row>
    <row r="63" spans="1:4" ht="12.75">
      <c r="A63" s="254" t="s">
        <v>561</v>
      </c>
      <c r="B63" s="1110">
        <f>C42</f>
        <v>0.2838225541465958</v>
      </c>
      <c r="C63" s="1216">
        <f>D54*(1-'18 Plán'!F3)</f>
        <v>0.055756484546757724</v>
      </c>
      <c r="D63" s="1111">
        <f>B63*C63</f>
        <v>0.015824947854295977</v>
      </c>
    </row>
    <row r="64" spans="1:4" ht="12.75">
      <c r="A64" s="1029" t="s">
        <v>526</v>
      </c>
      <c r="B64" s="1217"/>
      <c r="C64" s="1217"/>
      <c r="D64" s="1218">
        <f>ROUND(SUM(D62:D63),3)</f>
        <v>0.119</v>
      </c>
    </row>
  </sheetData>
  <hyperlinks>
    <hyperlink ref="G1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12.00390625" style="0" hidden="1" customWidth="1"/>
    <col min="3" max="3" width="11.125" style="0" customWidth="1"/>
    <col min="4" max="4" width="9.25390625" style="0" bestFit="1" customWidth="1"/>
    <col min="7" max="7" width="9.875" style="0" customWidth="1"/>
    <col min="8" max="8" width="10.00390625" style="0" customWidth="1"/>
  </cols>
  <sheetData>
    <row r="1" spans="1:8" ht="15.75">
      <c r="A1" s="1028" t="s">
        <v>703</v>
      </c>
      <c r="H1" s="1248" t="s">
        <v>785</v>
      </c>
    </row>
    <row r="3" spans="1:2" ht="18">
      <c r="A3" s="1114" t="s">
        <v>342</v>
      </c>
      <c r="B3" s="265"/>
    </row>
    <row r="4" ht="13.5" thickBot="1"/>
    <row r="5" spans="1:8" ht="13.5" thickBot="1">
      <c r="A5" s="1116" t="s">
        <v>347</v>
      </c>
      <c r="B5" s="1116">
        <v>2000</v>
      </c>
      <c r="C5" s="857">
        <f>'18 Plán'!B9</f>
        <v>2001</v>
      </c>
      <c r="D5" s="1121">
        <f>'18 Plán'!C9</f>
        <v>2002</v>
      </c>
      <c r="E5" s="1122">
        <f>'18 Plán'!D9</f>
        <v>2003</v>
      </c>
      <c r="F5" s="1122">
        <f>'18 Plán'!E9</f>
        <v>2004</v>
      </c>
      <c r="G5" s="1123">
        <f>'18 Plán'!F9</f>
        <v>2005</v>
      </c>
      <c r="H5" s="857">
        <v>2006</v>
      </c>
    </row>
    <row r="6" spans="1:7" ht="13.5" thickBot="1">
      <c r="A6" s="1025" t="s">
        <v>565</v>
      </c>
      <c r="C6" s="266"/>
      <c r="D6" s="266"/>
      <c r="E6" s="266"/>
      <c r="F6" s="266"/>
      <c r="G6" s="266"/>
    </row>
    <row r="7" spans="1:8" ht="12.75">
      <c r="A7" s="210" t="s">
        <v>344</v>
      </c>
      <c r="B7" s="210"/>
      <c r="C7" s="359">
        <f>'16 Generátory'!F56</f>
        <v>0.11198369401928089</v>
      </c>
      <c r="D7" s="1124">
        <f>'16 Generátory'!G56</f>
        <v>0.13</v>
      </c>
      <c r="E7" s="1125">
        <f>'16 Generátory'!H56</f>
        <v>0.15</v>
      </c>
      <c r="F7" s="1125">
        <f>'16 Generátory'!I56</f>
        <v>0.15</v>
      </c>
      <c r="G7" s="1126">
        <f>'16 Generátory'!J56</f>
        <v>0.15</v>
      </c>
      <c r="H7" s="210"/>
    </row>
    <row r="8" spans="1:8" ht="12.75">
      <c r="A8" s="169" t="s">
        <v>53</v>
      </c>
      <c r="B8" s="169"/>
      <c r="C8" s="573">
        <f>'18 Plán'!B134</f>
        <v>196254</v>
      </c>
      <c r="D8" s="181">
        <f>'18 Plán'!C134</f>
        <v>212193.7626739726</v>
      </c>
      <c r="E8" s="179">
        <f>'18 Plán'!D134</f>
        <v>222166.86951964928</v>
      </c>
      <c r="F8" s="179">
        <f>'18 Plán'!E134</f>
        <v>235426.81367813356</v>
      </c>
      <c r="G8" s="182">
        <f>'18 Plán'!F134</f>
        <v>247433.58117571837</v>
      </c>
      <c r="H8" s="206"/>
    </row>
    <row r="9" spans="1:8" ht="12.75">
      <c r="A9" s="206" t="s">
        <v>345</v>
      </c>
      <c r="B9" s="206"/>
      <c r="C9" s="276">
        <f>IF(C7*C8&gt;'18 Plán'!B116,'18 Plán'!C116,C7*C8)</f>
        <v>21977.24788605995</v>
      </c>
      <c r="D9" s="670">
        <f>IF(D7*D8&gt;'18 Plán'!C116,'18 Plán'!D116,D7*D8)</f>
        <v>27585.189147616442</v>
      </c>
      <c r="E9" s="611">
        <f>IF(E7*E8&gt;'18 Plán'!D116,'18 Plán'!E116,E7*E8)</f>
        <v>33325.03042794739</v>
      </c>
      <c r="F9" s="611">
        <f>IF(F7*F8&gt;'18 Plán'!E116,'18 Plán'!F116,F7*F8)</f>
        <v>35314.022051720036</v>
      </c>
      <c r="G9" s="973">
        <f>IF(G7*G8&gt;'18 Plán'!F116,'18 Plán'!G116,G7*G8)</f>
        <v>37115.03717635776</v>
      </c>
      <c r="H9" s="206"/>
    </row>
    <row r="10" spans="1:8" ht="13.5" thickBot="1">
      <c r="A10" s="94" t="s">
        <v>346</v>
      </c>
      <c r="B10" s="94"/>
      <c r="C10" s="277">
        <f>IF(C9&lt;'18 Plán'!B116,'18 Plán'!B116-'22 DCF'!C9,0)</f>
        <v>0</v>
      </c>
      <c r="D10" s="671">
        <f>IF(D9&lt;'18 Plán'!C116,'18 Plán'!C116-'22 DCF'!D9,0)</f>
        <v>1295.6033376806881</v>
      </c>
      <c r="E10" s="612">
        <f>IF(E9&lt;'18 Plán'!D116,'18 Plán'!D116-'22 DCF'!E9,0)</f>
        <v>17020.764500942023</v>
      </c>
      <c r="F10" s="612">
        <f>IF(F9&lt;'18 Plán'!E116,'18 Plán'!E116-'22 DCF'!F9,0)</f>
        <v>28387.876476835612</v>
      </c>
      <c r="G10" s="1127">
        <f>IF(G9&lt;'18 Plán'!F116,'18 Plán'!F116-'22 DCF'!G9,0)</f>
        <v>29981.270954094405</v>
      </c>
      <c r="H10" s="94"/>
    </row>
    <row r="11" spans="1:7" ht="12.75">
      <c r="A11" s="31"/>
      <c r="B11" s="31"/>
      <c r="C11" s="83"/>
      <c r="D11" s="85"/>
      <c r="E11" s="85"/>
      <c r="F11" s="85"/>
      <c r="G11" s="85"/>
    </row>
    <row r="12" spans="1:7" ht="13.5" thickBot="1">
      <c r="A12" s="1115" t="s">
        <v>566</v>
      </c>
      <c r="C12" s="266"/>
      <c r="D12" s="266"/>
      <c r="E12" s="266"/>
      <c r="F12" s="266"/>
      <c r="G12" s="266"/>
    </row>
    <row r="13" spans="1:8" ht="12.75">
      <c r="A13" s="210" t="s">
        <v>444</v>
      </c>
      <c r="B13" s="210">
        <f>'8 Rozvaha'!F7+'8 Rozvaha'!F8</f>
        <v>408082</v>
      </c>
      <c r="C13" s="278">
        <f>'18 Plán'!B100+'18 Plán'!B101</f>
        <v>381188</v>
      </c>
      <c r="D13" s="669">
        <f>'18 Plán'!C100+'18 Plán'!C101</f>
        <v>381638.65</v>
      </c>
      <c r="E13" s="610">
        <f>'18 Plán'!D100+'18 Plán'!D101</f>
        <v>379132.95</v>
      </c>
      <c r="F13" s="610">
        <f>'18 Plán'!E100+'18 Plán'!E101</f>
        <v>384196.9</v>
      </c>
      <c r="G13" s="922">
        <f>'18 Plán'!F100+'18 Plán'!F101</f>
        <v>392224.5</v>
      </c>
      <c r="H13" s="210"/>
    </row>
    <row r="14" spans="1:8" ht="12.75">
      <c r="A14" s="169" t="s">
        <v>271</v>
      </c>
      <c r="B14" s="169">
        <f>'8 Rozvaha'!F15-'8 Rozvaha'!F39+'8 Rozvaha'!F25-'8 Rozvaha'!F47</f>
        <v>11890.811652999953</v>
      </c>
      <c r="C14" s="573">
        <f>C9+'18 Plán'!B114+'18 Plán'!B111+'18 Plán'!B119-'18 Plán'!B134-'18 Plán'!B142</f>
        <v>20387.24788605995</v>
      </c>
      <c r="D14" s="181">
        <f>D9+'18 Plán'!C114+'18 Plán'!C111+'18 Plán'!C119-'18 Plán'!C134-'18 Plán'!C142</f>
        <v>37716.487712</v>
      </c>
      <c r="E14" s="179">
        <f>E9+'18 Plán'!D114+'18 Plán'!D111+'18 Plán'!D119-'18 Plán'!D134-'18 Plán'!D142</f>
        <v>43839.910024857</v>
      </c>
      <c r="F14" s="179">
        <f>F9+'18 Plán'!E114+'18 Plán'!E111+'18 Plán'!E119-'18 Plán'!E134-'18 Plán'!E142</f>
        <v>42028.13920392431</v>
      </c>
      <c r="G14" s="182">
        <f>G9+'18 Plán'!F114+'18 Plán'!F111+'18 Plán'!F119-'18 Plán'!F134-'18 Plán'!F142</f>
        <v>44071.10430332439</v>
      </c>
      <c r="H14" s="169"/>
    </row>
    <row r="15" spans="1:11" ht="13.5" thickBot="1">
      <c r="A15" s="275" t="s">
        <v>343</v>
      </c>
      <c r="B15" s="279">
        <f aca="true" t="shared" si="0" ref="B15:G15">B13+B14</f>
        <v>419972.81165299995</v>
      </c>
      <c r="C15" s="279">
        <f t="shared" si="0"/>
        <v>401575.2478860599</v>
      </c>
      <c r="D15" s="1132">
        <f t="shared" si="0"/>
        <v>419355.13771200005</v>
      </c>
      <c r="E15" s="1133">
        <f t="shared" si="0"/>
        <v>422972.860024857</v>
      </c>
      <c r="F15" s="1133">
        <f t="shared" si="0"/>
        <v>426225.03920392436</v>
      </c>
      <c r="G15" s="259">
        <f t="shared" si="0"/>
        <v>436295.60430332436</v>
      </c>
      <c r="H15" s="1128">
        <f>G15*(1+$D$44)</f>
        <v>458110.3845184906</v>
      </c>
      <c r="I15" s="282"/>
      <c r="J15" s="282"/>
      <c r="K15" s="282"/>
    </row>
    <row r="16" spans="1:11" ht="13.5" thickBot="1">
      <c r="A16" s="86"/>
      <c r="B16" s="86"/>
      <c r="C16" s="188"/>
      <c r="D16" s="188"/>
      <c r="E16" s="188"/>
      <c r="F16" s="188"/>
      <c r="G16" s="15"/>
      <c r="H16" s="15"/>
      <c r="I16" s="15"/>
      <c r="J16" s="15"/>
      <c r="K16" s="15"/>
    </row>
    <row r="17" spans="1:11" ht="12.75">
      <c r="A17" s="284" t="s">
        <v>349</v>
      </c>
      <c r="B17" s="360">
        <f>'9 Výsledovka'!G17-'9 Výsledovka'!G14+'9 Výsledovka'!G15</f>
        <v>59467</v>
      </c>
      <c r="C17" s="1120">
        <f>'18 Plán'!B19</f>
        <v>61962</v>
      </c>
      <c r="D17" s="1134">
        <f>'18 Plán'!C19</f>
        <v>59825.44920000003</v>
      </c>
      <c r="E17" s="1135">
        <f>'18 Plán'!D19</f>
        <v>60496.374744776025</v>
      </c>
      <c r="F17" s="1135">
        <f>'18 Plán'!E19</f>
        <v>70121.36735861865</v>
      </c>
      <c r="G17" s="1136">
        <f>'18 Plán'!F19</f>
        <v>76164.02351722962</v>
      </c>
      <c r="H17" s="1129"/>
      <c r="I17" s="80"/>
      <c r="J17" s="80"/>
      <c r="K17" s="80"/>
    </row>
    <row r="18" spans="1:11" ht="13.5" thickBot="1">
      <c r="A18" s="275" t="s">
        <v>362</v>
      </c>
      <c r="B18" s="23">
        <f>B17*(1-'18 Plán'!$F$3)</f>
        <v>41032.229999999996</v>
      </c>
      <c r="C18" s="279">
        <f>C17*(1-'18 Plán'!$F$3)</f>
        <v>42753.78</v>
      </c>
      <c r="D18" s="1132">
        <f>D17*(1-'18 Plán'!$F$3)</f>
        <v>41279.55994800002</v>
      </c>
      <c r="E18" s="1133">
        <f>E17*(1-'18 Plán'!$F$3)</f>
        <v>41742.49857389546</v>
      </c>
      <c r="F18" s="1133">
        <f>F17*(1-'18 Plán'!$F$3)</f>
        <v>48383.743477446864</v>
      </c>
      <c r="G18" s="259">
        <f>G17*(1-'18 Plán'!$F$3)</f>
        <v>52553.176226888434</v>
      </c>
      <c r="H18" s="279">
        <f>G18*(1+$D$44)</f>
        <v>55180.83503823286</v>
      </c>
      <c r="I18" s="22"/>
      <c r="J18" s="22"/>
      <c r="K18" s="22"/>
    </row>
    <row r="20" spans="1:2" ht="18.75" thickBot="1">
      <c r="A20" s="1114" t="s">
        <v>358</v>
      </c>
      <c r="B20" s="265"/>
    </row>
    <row r="21" spans="1:11" ht="13.5" customHeight="1" thickBot="1">
      <c r="A21" s="1130"/>
      <c r="B21" s="1131"/>
      <c r="C21" s="857">
        <f>C5</f>
        <v>2001</v>
      </c>
      <c r="D21" s="1121">
        <f>D5</f>
        <v>2002</v>
      </c>
      <c r="E21" s="1122">
        <f>E5</f>
        <v>2003</v>
      </c>
      <c r="F21" s="1122">
        <f>F5</f>
        <v>2004</v>
      </c>
      <c r="G21" s="1123">
        <f>G5</f>
        <v>2005</v>
      </c>
      <c r="H21" s="1116" t="s">
        <v>222</v>
      </c>
      <c r="I21" s="1"/>
      <c r="J21" s="1"/>
      <c r="K21" s="1"/>
    </row>
    <row r="22" spans="1:8" ht="12.75">
      <c r="A22" s="206" t="s">
        <v>572</v>
      </c>
      <c r="C22" s="220">
        <f>C18/B18-1</f>
        <v>0.041956042847293595</v>
      </c>
      <c r="D22" s="672">
        <f>D18/C18-1</f>
        <v>-0.03448163067686605</v>
      </c>
      <c r="E22" s="212">
        <f>E18/D18-1</f>
        <v>0.011214718046379524</v>
      </c>
      <c r="F22" s="212">
        <f>F18/E18-1</f>
        <v>0.1591003205472863</v>
      </c>
      <c r="G22" s="852">
        <f>G18/F18-1</f>
        <v>0.08617424882357594</v>
      </c>
      <c r="H22" s="220">
        <f>(G18/C18)^(1/4)-1</f>
        <v>0.05294603312135204</v>
      </c>
    </row>
    <row r="23" spans="1:14" ht="12.75">
      <c r="A23" s="206" t="s">
        <v>359</v>
      </c>
      <c r="C23" s="220">
        <f>(C15-B15)/C18</f>
        <v>-0.4303143199721763</v>
      </c>
      <c r="D23" s="672">
        <f>(D15-C15)/D18</f>
        <v>0.4307189768577357</v>
      </c>
      <c r="E23" s="212">
        <f>(E15-D15)/E18</f>
        <v>0.08666760343664118</v>
      </c>
      <c r="F23" s="212">
        <f>(F15-E15)/F18</f>
        <v>0.06721636122643784</v>
      </c>
      <c r="G23" s="852">
        <f>(G15-F15)/G18</f>
        <v>0.1916261931709367</v>
      </c>
      <c r="H23" s="220">
        <f>(G15-C15)/SUM(D18:G18)</f>
        <v>0.18873966768050712</v>
      </c>
      <c r="N23" s="287"/>
    </row>
    <row r="24" spans="1:14" ht="12.75">
      <c r="A24" s="206" t="s">
        <v>606</v>
      </c>
      <c r="C24" s="220">
        <f>C18/B15</f>
        <v>0.10180130430758708</v>
      </c>
      <c r="D24" s="672">
        <f>D18/C15</f>
        <v>0.10279408445938974</v>
      </c>
      <c r="E24" s="212">
        <f>E18/D15</f>
        <v>0.09953973331921569</v>
      </c>
      <c r="F24" s="212">
        <f>F18/E15</f>
        <v>0.11438971161081939</v>
      </c>
      <c r="G24" s="852">
        <f>G18/F15</f>
        <v>0.1232991293168601</v>
      </c>
      <c r="H24" s="220"/>
      <c r="N24" s="287"/>
    </row>
    <row r="25" spans="1:14" ht="13.5" thickBot="1">
      <c r="A25" s="94" t="s">
        <v>357</v>
      </c>
      <c r="C25" s="221"/>
      <c r="D25" s="673">
        <f>(D18-C18)/(C15-B15)</f>
        <v>0.08013126469761825</v>
      </c>
      <c r="E25" s="213">
        <f>(E18-D18)/(D15-C15)</f>
        <v>0.026037204416195624</v>
      </c>
      <c r="F25" s="213">
        <f>(F18-E18)/(E15-D15)</f>
        <v>1.8357530869490055</v>
      </c>
      <c r="G25" s="1137">
        <f>(G18-F18)/(F15-E15)</f>
        <v>1.2820427534491616</v>
      </c>
      <c r="H25" s="221">
        <f>(G18-D18)/(F15-C15)</f>
        <v>0.45735138823338</v>
      </c>
      <c r="N25" s="287"/>
    </row>
    <row r="27" spans="1:2" ht="18.75" thickBot="1">
      <c r="A27" s="1114" t="s">
        <v>348</v>
      </c>
      <c r="B27" s="265"/>
    </row>
    <row r="28" spans="1:7" ht="13.5" thickBot="1">
      <c r="A28" s="1119"/>
      <c r="B28" s="1117"/>
      <c r="C28" s="1118"/>
      <c r="D28" s="1121">
        <f>D5</f>
        <v>2002</v>
      </c>
      <c r="E28" s="1122">
        <f>E5</f>
        <v>2003</v>
      </c>
      <c r="F28" s="1122">
        <f>F5</f>
        <v>2004</v>
      </c>
      <c r="G28" s="1123">
        <f>G5</f>
        <v>2005</v>
      </c>
    </row>
    <row r="29" spans="1:7" ht="12.75">
      <c r="A29" s="272" t="s">
        <v>487</v>
      </c>
      <c r="B29" s="31"/>
      <c r="C29" s="273"/>
      <c r="D29" s="923">
        <f>'18 Plán'!C19</f>
        <v>59825.44920000003</v>
      </c>
      <c r="E29" s="924">
        <f>'18 Plán'!D19</f>
        <v>60496.374744776025</v>
      </c>
      <c r="F29" s="924">
        <f>'18 Plán'!E19</f>
        <v>70121.36735861865</v>
      </c>
      <c r="G29" s="925">
        <f>'18 Plán'!F19</f>
        <v>76164.02351722962</v>
      </c>
    </row>
    <row r="30" spans="1:7" ht="12.75">
      <c r="A30" s="916" t="s">
        <v>567</v>
      </c>
      <c r="B30" s="336"/>
      <c r="C30" s="917"/>
      <c r="D30" s="181">
        <f>D29*'18 Plán'!$F$3</f>
        <v>18545.889252000008</v>
      </c>
      <c r="E30" s="179">
        <f>E29*'18 Plán'!$F$3</f>
        <v>18753.87617088057</v>
      </c>
      <c r="F30" s="179">
        <f>F29*'18 Plán'!$F$3</f>
        <v>21737.62388117178</v>
      </c>
      <c r="G30" s="182">
        <f>G29*'18 Plán'!$F$3</f>
        <v>23610.847290341182</v>
      </c>
    </row>
    <row r="31" spans="1:8" ht="12.75">
      <c r="A31" s="272" t="s">
        <v>492</v>
      </c>
      <c r="B31" s="86"/>
      <c r="C31" s="273"/>
      <c r="D31" s="923">
        <f>D29-D30</f>
        <v>41279.559948000024</v>
      </c>
      <c r="E31" s="924">
        <f>E29-E30</f>
        <v>41742.49857389546</v>
      </c>
      <c r="F31" s="924">
        <f>F29-F30</f>
        <v>48383.74347744687</v>
      </c>
      <c r="G31" s="925">
        <f>G29-G30</f>
        <v>52553.17622688844</v>
      </c>
      <c r="H31" s="24"/>
    </row>
    <row r="32" spans="1:7" ht="12.75">
      <c r="A32" s="268" t="s">
        <v>254</v>
      </c>
      <c r="B32" s="31"/>
      <c r="C32" s="81"/>
      <c r="D32" s="670">
        <f>'18 Plán'!C17</f>
        <v>39470.35</v>
      </c>
      <c r="E32" s="611">
        <f>'18 Plán'!D17</f>
        <v>42426.7</v>
      </c>
      <c r="F32" s="611">
        <f>'18 Plán'!E17</f>
        <v>34857.05</v>
      </c>
      <c r="G32" s="973">
        <f>'18 Plán'!F17</f>
        <v>31893.4</v>
      </c>
    </row>
    <row r="33" spans="1:7" ht="12.75">
      <c r="A33" s="268" t="s">
        <v>351</v>
      </c>
      <c r="B33" s="31"/>
      <c r="C33" s="81"/>
      <c r="D33" s="670">
        <f>'18 Plán'!C131-'18 Plán'!B131</f>
        <v>0</v>
      </c>
      <c r="E33" s="611">
        <f>'18 Plán'!D131-'18 Plán'!C131</f>
        <v>0</v>
      </c>
      <c r="F33" s="611">
        <f>'18 Plán'!E131-'18 Plán'!D131</f>
        <v>0</v>
      </c>
      <c r="G33" s="973">
        <f>'18 Plán'!F131-'18 Plán'!E131</f>
        <v>0</v>
      </c>
    </row>
    <row r="34" spans="1:8" ht="12.75">
      <c r="A34" s="268" t="s">
        <v>568</v>
      </c>
      <c r="B34" s="31"/>
      <c r="C34" s="250"/>
      <c r="D34" s="670">
        <f>-(D13-C13+D32)</f>
        <v>-39921.00000000002</v>
      </c>
      <c r="E34" s="611">
        <f>-(E13-D13+E32)</f>
        <v>-39920.999999999985</v>
      </c>
      <c r="F34" s="611">
        <f>-(F13-E13+F32)</f>
        <v>-39921.000000000015</v>
      </c>
      <c r="G34" s="973">
        <f>-(G13-F13+G32)</f>
        <v>-39920.99999999998</v>
      </c>
      <c r="H34" s="15"/>
    </row>
    <row r="35" spans="1:8" ht="12.75">
      <c r="A35" s="916" t="s">
        <v>363</v>
      </c>
      <c r="B35" s="336"/>
      <c r="C35" s="257"/>
      <c r="D35" s="181">
        <f>-(D14-C14)</f>
        <v>-17329.23982594005</v>
      </c>
      <c r="E35" s="179">
        <f>-(E14-D14)</f>
        <v>-6123.422312857001</v>
      </c>
      <c r="F35" s="179">
        <f>-(F14-E14)</f>
        <v>1811.7708209326956</v>
      </c>
      <c r="G35" s="182">
        <f>-(G14-F14)</f>
        <v>-2042.965099400084</v>
      </c>
      <c r="H35" s="15"/>
    </row>
    <row r="36" spans="1:8" ht="12.75">
      <c r="A36" s="1162" t="s">
        <v>352</v>
      </c>
      <c r="B36" s="1163"/>
      <c r="C36" s="1164"/>
      <c r="D36" s="1165">
        <f>SUM(D31:D35)</f>
        <v>23499.670122059943</v>
      </c>
      <c r="E36" s="1166">
        <f>SUM(E31:E35)</f>
        <v>38124.77626103847</v>
      </c>
      <c r="F36" s="1166">
        <f>SUM(F31:F35)</f>
        <v>45131.564298379555</v>
      </c>
      <c r="G36" s="1167">
        <f>SUM(G31:G35)</f>
        <v>42482.61112748838</v>
      </c>
      <c r="H36" s="24"/>
    </row>
    <row r="37" spans="1:7" ht="12.75">
      <c r="A37" s="268"/>
      <c r="B37" s="31"/>
      <c r="C37" s="81"/>
      <c r="D37" s="850"/>
      <c r="E37" s="254"/>
      <c r="F37" s="254"/>
      <c r="G37" s="851"/>
    </row>
    <row r="38" spans="1:7" ht="12.75">
      <c r="A38" s="268" t="s">
        <v>353</v>
      </c>
      <c r="B38" s="31"/>
      <c r="C38" s="1161">
        <f>'21 WACC'!D64</f>
        <v>0.119</v>
      </c>
      <c r="D38" s="1138">
        <f>1/(1+$C$38)^(D5-$C$5)</f>
        <v>0.8936550491510277</v>
      </c>
      <c r="E38" s="1139">
        <f>1/(1+$C$38)^(E5-$C$5)</f>
        <v>0.7986193468731256</v>
      </c>
      <c r="F38" s="1139">
        <f>1/(1+$C$38)^(F5-$C$5)</f>
        <v>0.7136902116828648</v>
      </c>
      <c r="G38" s="1140">
        <f>1/(1+$C$38)^(G5-$C$5)</f>
        <v>0.6377928612000578</v>
      </c>
    </row>
    <row r="39" spans="1:7" ht="12.75">
      <c r="A39" s="268"/>
      <c r="B39" s="31"/>
      <c r="C39" s="81"/>
      <c r="D39" s="850"/>
      <c r="E39" s="254"/>
      <c r="F39" s="254"/>
      <c r="G39" s="851"/>
    </row>
    <row r="40" spans="1:7" ht="13.5" thickBot="1">
      <c r="A40" s="271" t="s">
        <v>354</v>
      </c>
      <c r="B40" s="361"/>
      <c r="C40" s="280"/>
      <c r="D40" s="1132">
        <f>D36*D38</f>
        <v>21000.598857962414</v>
      </c>
      <c r="E40" s="1133">
        <f>E36*E38</f>
        <v>30447.183917274586</v>
      </c>
      <c r="F40" s="1133">
        <f>F36*F38</f>
        <v>32209.95567768933</v>
      </c>
      <c r="G40" s="259">
        <f>G36*G38</f>
        <v>27095.10610225023</v>
      </c>
    </row>
    <row r="42" spans="1:2" ht="18">
      <c r="A42" s="1114" t="s">
        <v>355</v>
      </c>
      <c r="B42" s="265"/>
    </row>
    <row r="43" ht="8.25" customHeight="1"/>
    <row r="44" spans="1:6" ht="12.75">
      <c r="A44" s="1047" t="s">
        <v>251</v>
      </c>
      <c r="B44" s="1048"/>
      <c r="C44" s="1048"/>
      <c r="D44" s="1154">
        <v>0.05</v>
      </c>
      <c r="E44" s="332"/>
      <c r="F44" s="78"/>
    </row>
    <row r="45" spans="1:6" ht="12.75">
      <c r="A45" s="1049" t="s">
        <v>573</v>
      </c>
      <c r="B45" s="31"/>
      <c r="C45" s="31"/>
      <c r="D45" s="1155">
        <f>(H15-G15)/H18</f>
        <v>0.3953325497892797</v>
      </c>
      <c r="E45" s="1156"/>
      <c r="F45" s="78"/>
    </row>
    <row r="46" spans="1:6" ht="12.75">
      <c r="A46" s="1050" t="s">
        <v>357</v>
      </c>
      <c r="B46" s="336"/>
      <c r="C46" s="336"/>
      <c r="D46" s="1157">
        <f>D44/D45</f>
        <v>0.12647579873362572</v>
      </c>
      <c r="E46" s="909"/>
      <c r="F46" s="78"/>
    </row>
    <row r="47" ht="12.75">
      <c r="H47" s="576"/>
    </row>
    <row r="48" spans="1:6" ht="12.75">
      <c r="A48" s="1145" t="s">
        <v>361</v>
      </c>
      <c r="B48" s="1146"/>
      <c r="C48" s="1148"/>
      <c r="D48" s="1147">
        <f>H18*(1-D45)</f>
        <v>33366.05482306664</v>
      </c>
      <c r="E48" s="1148" t="s">
        <v>366</v>
      </c>
      <c r="F48" s="285"/>
    </row>
    <row r="49" spans="1:6" ht="12.75">
      <c r="A49" s="1049" t="s">
        <v>360</v>
      </c>
      <c r="B49" s="31"/>
      <c r="C49" s="335"/>
      <c r="D49" s="85">
        <f>(H18*(1-D45)/(C38-D44))</f>
        <v>483566.01192850206</v>
      </c>
      <c r="E49" s="335" t="s">
        <v>366</v>
      </c>
      <c r="F49" s="285"/>
    </row>
    <row r="50" spans="1:6" ht="12.75">
      <c r="A50" s="1143" t="s">
        <v>704</v>
      </c>
      <c r="B50" s="1144"/>
      <c r="C50" s="1171"/>
      <c r="D50" s="574">
        <f>D48/(C38-D44)</f>
        <v>483566.01192850206</v>
      </c>
      <c r="E50" s="909" t="s">
        <v>366</v>
      </c>
      <c r="F50" s="285"/>
    </row>
    <row r="51" spans="1:6" ht="12.75">
      <c r="A51" s="83"/>
      <c r="B51" s="83"/>
      <c r="C51" s="83"/>
      <c r="D51" s="85"/>
      <c r="E51" s="31"/>
      <c r="F51" s="285"/>
    </row>
    <row r="52" spans="1:6" ht="15.75">
      <c r="A52" s="1114" t="s">
        <v>706</v>
      </c>
      <c r="B52" s="83"/>
      <c r="C52" s="83"/>
      <c r="D52" s="85"/>
      <c r="E52" s="31"/>
      <c r="F52" s="285"/>
    </row>
    <row r="53" ht="6.75" customHeight="1"/>
    <row r="54" spans="1:6" ht="12.75">
      <c r="A54" s="1047" t="s">
        <v>364</v>
      </c>
      <c r="B54" s="1048"/>
      <c r="C54" s="332"/>
      <c r="D54" s="1093">
        <f>SUM(D40:G40)</f>
        <v>110752.84455517656</v>
      </c>
      <c r="E54" s="332" t="s">
        <v>366</v>
      </c>
      <c r="F54" s="15"/>
    </row>
    <row r="55" spans="1:6" ht="12.75">
      <c r="A55" s="1050" t="s">
        <v>365</v>
      </c>
      <c r="B55" s="336"/>
      <c r="C55" s="909"/>
      <c r="D55" s="574">
        <f>D49*G38</f>
        <v>308414.9503269806</v>
      </c>
      <c r="E55" s="909" t="s">
        <v>366</v>
      </c>
      <c r="F55" s="15"/>
    </row>
    <row r="56" spans="1:6" ht="12.75">
      <c r="A56" s="1097" t="s">
        <v>367</v>
      </c>
      <c r="B56" s="86"/>
      <c r="C56" s="1149"/>
      <c r="D56" s="188">
        <f>D54+D55</f>
        <v>419167.7948821572</v>
      </c>
      <c r="E56" s="1149" t="s">
        <v>366</v>
      </c>
      <c r="F56" s="22"/>
    </row>
    <row r="57" spans="1:6" ht="12.75">
      <c r="A57" s="1050" t="s">
        <v>368</v>
      </c>
      <c r="B57" s="336"/>
      <c r="C57" s="909"/>
      <c r="D57" s="574">
        <f>'21 WACC'!B42</f>
        <v>118890.6</v>
      </c>
      <c r="E57" s="909" t="s">
        <v>366</v>
      </c>
      <c r="F57" s="15"/>
    </row>
    <row r="58" spans="1:6" ht="12.75">
      <c r="A58" s="1097" t="s">
        <v>369</v>
      </c>
      <c r="B58" s="86"/>
      <c r="C58" s="1149"/>
      <c r="D58" s="188">
        <f>D56-D57</f>
        <v>300277.19488215714</v>
      </c>
      <c r="E58" s="1149" t="s">
        <v>366</v>
      </c>
      <c r="F58" s="22"/>
    </row>
    <row r="59" spans="1:6" ht="12.75">
      <c r="A59" s="1050" t="s">
        <v>370</v>
      </c>
      <c r="B59" s="336"/>
      <c r="C59" s="909"/>
      <c r="D59" s="574">
        <f>'25 Pohledávka'!E49+'26 Dluhopisy'!B17+C10</f>
        <v>5128.5796432357565</v>
      </c>
      <c r="E59" s="909" t="s">
        <v>366</v>
      </c>
      <c r="F59" s="15"/>
    </row>
    <row r="60" spans="1:6" ht="12.75">
      <c r="A60" s="1112" t="s">
        <v>711</v>
      </c>
      <c r="B60" s="1113"/>
      <c r="C60" s="1151"/>
      <c r="D60" s="1150">
        <f>ROUND(D58+D59,0)</f>
        <v>305406</v>
      </c>
      <c r="E60" s="1151" t="s">
        <v>366</v>
      </c>
      <c r="F60" s="286"/>
    </row>
    <row r="62" ht="15.75">
      <c r="A62" s="1114" t="s">
        <v>705</v>
      </c>
    </row>
    <row r="63" ht="8.25" customHeight="1">
      <c r="A63" s="1114"/>
    </row>
    <row r="64" spans="1:5" ht="12.75">
      <c r="A64" s="1141" t="s">
        <v>443</v>
      </c>
      <c r="B64" s="1142"/>
      <c r="C64" s="1142"/>
      <c r="D64" s="1158">
        <f>D57/D58</f>
        <v>0.39593616174101487</v>
      </c>
      <c r="E64" s="332"/>
    </row>
    <row r="65" spans="1:5" ht="12.75">
      <c r="A65" s="1152" t="s">
        <v>562</v>
      </c>
      <c r="B65" s="1153"/>
      <c r="C65" s="1153"/>
      <c r="D65" s="1160">
        <f>D58/D56</f>
        <v>0.7163651371799106</v>
      </c>
      <c r="E65" s="909"/>
    </row>
    <row r="66" spans="1:5" ht="12.75">
      <c r="A66" s="1141" t="s">
        <v>750</v>
      </c>
      <c r="B66" s="1142"/>
      <c r="C66" s="1142"/>
      <c r="D66" s="1215">
        <f>D58/'21 WACC'!B15*1000</f>
        <v>2001.8479658810477</v>
      </c>
      <c r="E66" s="332"/>
    </row>
    <row r="67" spans="1:5" ht="12.75">
      <c r="A67" s="1152" t="s">
        <v>751</v>
      </c>
      <c r="B67" s="1153"/>
      <c r="C67" s="1153"/>
      <c r="D67" s="1159">
        <f>D60/'21 WACC'!B15*1000</f>
        <v>2036.04</v>
      </c>
      <c r="E67" s="909"/>
    </row>
  </sheetData>
  <hyperlinks>
    <hyperlink ref="H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rowBreaks count="1" manualBreakCount="1">
    <brk id="5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4.75390625" style="0" customWidth="1"/>
    <col min="2" max="2" width="9.25390625" style="0" bestFit="1" customWidth="1"/>
  </cols>
  <sheetData>
    <row r="1" spans="1:7" ht="15.75">
      <c r="A1" s="1028" t="s">
        <v>707</v>
      </c>
      <c r="G1" s="1248" t="s">
        <v>785</v>
      </c>
    </row>
    <row r="3" ht="15.75">
      <c r="A3" s="1114" t="s">
        <v>372</v>
      </c>
    </row>
    <row r="5" spans="1:2" ht="12.75">
      <c r="A5" s="96" t="s">
        <v>374</v>
      </c>
      <c r="B5" s="116">
        <f>'22 DCF'!C38</f>
        <v>0.119</v>
      </c>
    </row>
    <row r="6" ht="13.5" thickBot="1">
      <c r="B6" s="281"/>
    </row>
    <row r="7" spans="1:8" ht="13.5" thickBot="1">
      <c r="A7" s="1116" t="str">
        <f>'22 DCF'!A5</f>
        <v>31. 12.</v>
      </c>
      <c r="B7" s="1116">
        <f>'22 DCF'!C5</f>
        <v>2001</v>
      </c>
      <c r="C7" s="1169">
        <f>'22 DCF'!D5</f>
        <v>2002</v>
      </c>
      <c r="D7" s="1169">
        <f>'22 DCF'!E5</f>
        <v>2003</v>
      </c>
      <c r="E7" s="1169">
        <f>'22 DCF'!F5</f>
        <v>2004</v>
      </c>
      <c r="F7" s="1169">
        <f>'22 DCF'!G5</f>
        <v>2005</v>
      </c>
      <c r="G7" s="857">
        <v>2006</v>
      </c>
      <c r="H7" s="10"/>
    </row>
    <row r="8" spans="1:9" ht="12.75">
      <c r="A8" s="206" t="s">
        <v>373</v>
      </c>
      <c r="B8" s="276">
        <f>'22 DCF'!C18</f>
        <v>42753.78</v>
      </c>
      <c r="C8" s="85">
        <f>'22 DCF'!D18</f>
        <v>41279.55994800002</v>
      </c>
      <c r="D8" s="85">
        <f>'22 DCF'!E18</f>
        <v>41742.49857389546</v>
      </c>
      <c r="E8" s="85">
        <f>'22 DCF'!F18</f>
        <v>48383.743477446864</v>
      </c>
      <c r="F8" s="85">
        <f>'22 DCF'!G18</f>
        <v>52553.176226888434</v>
      </c>
      <c r="G8" s="276">
        <f>F8*(1+C19)</f>
        <v>55180.83503823286</v>
      </c>
      <c r="I8" s="15"/>
    </row>
    <row r="9" spans="1:9" ht="12.75">
      <c r="A9" s="206" t="s">
        <v>371</v>
      </c>
      <c r="B9" s="276">
        <f>'22 DCF'!C15</f>
        <v>401575.2478860599</v>
      </c>
      <c r="C9" s="85">
        <f>'22 DCF'!D15</f>
        <v>419355.13771200005</v>
      </c>
      <c r="D9" s="85">
        <f>'22 DCF'!E15</f>
        <v>422972.860024857</v>
      </c>
      <c r="E9" s="85">
        <f>'22 DCF'!F15</f>
        <v>426225.03920392436</v>
      </c>
      <c r="F9" s="85">
        <f>'22 DCF'!G15</f>
        <v>436295.60430332436</v>
      </c>
      <c r="G9" s="276">
        <f>F9*(1+C19)</f>
        <v>458110.3845184906</v>
      </c>
      <c r="I9" s="15"/>
    </row>
    <row r="10" spans="1:7" ht="15.75">
      <c r="A10" s="169" t="s">
        <v>608</v>
      </c>
      <c r="B10" s="169"/>
      <c r="C10" s="574">
        <f>$B$5*B9</f>
        <v>47787.454498441126</v>
      </c>
      <c r="D10" s="574">
        <f>$B$5*C9</f>
        <v>49903.261387728</v>
      </c>
      <c r="E10" s="574">
        <f>$B$5*D9</f>
        <v>50333.77034295798</v>
      </c>
      <c r="F10" s="574">
        <f>$B$5*E9</f>
        <v>50720.77966526699</v>
      </c>
      <c r="G10" s="573">
        <f>$B$5*F9</f>
        <v>51919.176912095594</v>
      </c>
    </row>
    <row r="11" spans="1:7" ht="12.75">
      <c r="A11" s="1174" t="s">
        <v>375</v>
      </c>
      <c r="B11" s="1172"/>
      <c r="C11" s="1168">
        <f>C8-C10</f>
        <v>-6507.8945504411095</v>
      </c>
      <c r="D11" s="1168">
        <f>D8-D10</f>
        <v>-8160.762813832545</v>
      </c>
      <c r="E11" s="1168">
        <f>E8-E10</f>
        <v>-1950.026865511114</v>
      </c>
      <c r="F11" s="1168">
        <f>F8-F10</f>
        <v>1832.396561621441</v>
      </c>
      <c r="G11" s="1170">
        <f>G8-G10</f>
        <v>3261.658126137263</v>
      </c>
    </row>
    <row r="12" spans="1:7" ht="12.75">
      <c r="A12" s="1162"/>
      <c r="B12" s="1172"/>
      <c r="C12" s="1168"/>
      <c r="D12" s="1168"/>
      <c r="E12" s="1168"/>
      <c r="F12" s="1168"/>
      <c r="G12" s="1170"/>
    </row>
    <row r="13" spans="1:7" ht="12.75">
      <c r="A13" s="268" t="str">
        <f>'22 DCF'!A38</f>
        <v>Odúročitel pro diskontní míru:</v>
      </c>
      <c r="B13" s="1173">
        <f>B5</f>
        <v>0.119</v>
      </c>
      <c r="C13" s="274">
        <f>'22 DCF'!D38</f>
        <v>0.8936550491510277</v>
      </c>
      <c r="D13" s="274">
        <f>'22 DCF'!E38</f>
        <v>0.7986193468731256</v>
      </c>
      <c r="E13" s="274">
        <f>'22 DCF'!F38</f>
        <v>0.7136902116828648</v>
      </c>
      <c r="F13" s="274">
        <f>'22 DCF'!G38</f>
        <v>0.6377928612000578</v>
      </c>
      <c r="G13" s="597"/>
    </row>
    <row r="14" spans="1:7" ht="12.75">
      <c r="A14" s="268"/>
      <c r="B14" s="1173"/>
      <c r="C14" s="274"/>
      <c r="D14" s="274"/>
      <c r="E14" s="274"/>
      <c r="F14" s="274"/>
      <c r="G14" s="597"/>
    </row>
    <row r="15" spans="1:7" ht="13.5" thickBot="1">
      <c r="A15" s="271" t="s">
        <v>376</v>
      </c>
      <c r="B15" s="280"/>
      <c r="C15" s="23">
        <f>C11*C13</f>
        <v>-5815.812824344155</v>
      </c>
      <c r="D15" s="23">
        <f>D11*D13</f>
        <v>-6517.343068369439</v>
      </c>
      <c r="E15" s="23">
        <f>E11*E13</f>
        <v>-1391.7150864339003</v>
      </c>
      <c r="F15" s="23">
        <f>F11*F13</f>
        <v>1168.689445889687</v>
      </c>
      <c r="G15" s="94"/>
    </row>
    <row r="18" ht="15.75">
      <c r="A18" s="1114" t="s">
        <v>355</v>
      </c>
    </row>
    <row r="19" spans="1:5" ht="12.75">
      <c r="A19" s="1047" t="s">
        <v>251</v>
      </c>
      <c r="B19" s="1048"/>
      <c r="C19" s="1175">
        <f>'22 DCF'!D44</f>
        <v>0.05</v>
      </c>
      <c r="D19" s="332"/>
      <c r="E19" s="78"/>
    </row>
    <row r="20" spans="1:5" ht="12.75">
      <c r="A20" s="1050" t="s">
        <v>359</v>
      </c>
      <c r="B20" s="336"/>
      <c r="C20" s="1176">
        <f>'22 DCF'!D45</f>
        <v>0.3953325497892797</v>
      </c>
      <c r="D20" s="909"/>
      <c r="E20" s="78"/>
    </row>
    <row r="21" spans="1:5" ht="12.75">
      <c r="A21" s="31"/>
      <c r="C21" s="267"/>
      <c r="E21" s="78"/>
    </row>
    <row r="22" spans="1:5" ht="12.75">
      <c r="A22" s="110" t="s">
        <v>355</v>
      </c>
      <c r="B22" s="329"/>
      <c r="C22" s="176">
        <f>G11/(B5-C19)</f>
        <v>47270.40762517773</v>
      </c>
      <c r="D22" s="98" t="s">
        <v>366</v>
      </c>
      <c r="E22" s="15"/>
    </row>
    <row r="24" spans="1:2" ht="15.75">
      <c r="A24" s="1114" t="s">
        <v>706</v>
      </c>
      <c r="B24" s="1114"/>
    </row>
    <row r="25" spans="1:5" ht="12.75">
      <c r="A25" s="1047" t="s">
        <v>364</v>
      </c>
      <c r="B25" s="332"/>
      <c r="C25" s="1093">
        <f>SUM(C15:F15)</f>
        <v>-12556.181533257806</v>
      </c>
      <c r="D25" s="332" t="s">
        <v>366</v>
      </c>
      <c r="E25" s="15"/>
    </row>
    <row r="26" spans="1:5" ht="12.75">
      <c r="A26" s="1050" t="s">
        <v>365</v>
      </c>
      <c r="B26" s="909"/>
      <c r="C26" s="574">
        <f>C22*F13</f>
        <v>30148.728529355136</v>
      </c>
      <c r="D26" s="909" t="s">
        <v>366</v>
      </c>
      <c r="E26" s="15"/>
    </row>
    <row r="27" spans="1:6" ht="12.75">
      <c r="A27" s="1097" t="s">
        <v>377</v>
      </c>
      <c r="B27" s="1149"/>
      <c r="C27" s="188">
        <f>C25+C26</f>
        <v>17592.546996097328</v>
      </c>
      <c r="D27" s="335" t="s">
        <v>366</v>
      </c>
      <c r="E27" s="22"/>
      <c r="F27" s="1"/>
    </row>
    <row r="28" spans="1:6" ht="12.75">
      <c r="A28" s="1050" t="s">
        <v>378</v>
      </c>
      <c r="B28" s="909"/>
      <c r="C28" s="574">
        <f>B9</f>
        <v>401575.2478860599</v>
      </c>
      <c r="D28" s="909" t="s">
        <v>366</v>
      </c>
      <c r="E28" s="15"/>
      <c r="F28" s="289"/>
    </row>
    <row r="29" spans="1:6" ht="12.75">
      <c r="A29" s="1097" t="s">
        <v>367</v>
      </c>
      <c r="B29" s="1149"/>
      <c r="C29" s="188">
        <f>C27+C28</f>
        <v>419167.79488215724</v>
      </c>
      <c r="D29" s="1149" t="s">
        <v>366</v>
      </c>
      <c r="E29" s="22"/>
      <c r="F29" s="290"/>
    </row>
    <row r="30" spans="1:4" ht="12.75">
      <c r="A30" s="1050" t="s">
        <v>368</v>
      </c>
      <c r="B30" s="909"/>
      <c r="C30" s="574">
        <f>'22 DCF'!D57</f>
        <v>118890.6</v>
      </c>
      <c r="D30" s="909" t="s">
        <v>366</v>
      </c>
    </row>
    <row r="31" spans="1:5" ht="12.75">
      <c r="A31" s="1097" t="s">
        <v>369</v>
      </c>
      <c r="B31" s="1149"/>
      <c r="C31" s="188">
        <f>C29-C30</f>
        <v>300277.19488215726</v>
      </c>
      <c r="D31" s="1149" t="s">
        <v>366</v>
      </c>
      <c r="E31" s="22"/>
    </row>
    <row r="32" spans="1:5" ht="12.75">
      <c r="A32" s="1050" t="s">
        <v>370</v>
      </c>
      <c r="B32" s="909"/>
      <c r="C32" s="574">
        <f>'22 DCF'!D59</f>
        <v>5128.5796432357565</v>
      </c>
      <c r="D32" s="909" t="s">
        <v>366</v>
      </c>
      <c r="E32" s="15"/>
    </row>
    <row r="33" spans="1:5" ht="12.75">
      <c r="A33" s="1112" t="s">
        <v>710</v>
      </c>
      <c r="B33" s="1151"/>
      <c r="C33" s="1150">
        <f>C31+C32</f>
        <v>305405.77452539303</v>
      </c>
      <c r="D33" s="1151" t="s">
        <v>366</v>
      </c>
      <c r="E33" s="286"/>
    </row>
  </sheetData>
  <hyperlinks>
    <hyperlink ref="G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6.00390625" style="0" customWidth="1"/>
    <col min="2" max="6" width="8.125" style="0" customWidth="1"/>
  </cols>
  <sheetData>
    <row r="1" spans="1:7" ht="15.75">
      <c r="A1" s="1028" t="s">
        <v>708</v>
      </c>
      <c r="G1" s="1248" t="s">
        <v>785</v>
      </c>
    </row>
    <row r="2" ht="15.75">
      <c r="A2" s="1114" t="s">
        <v>709</v>
      </c>
    </row>
    <row r="3" ht="13.5" thickBot="1"/>
    <row r="4" spans="1:7" ht="13.5" thickBot="1">
      <c r="A4" s="908"/>
      <c r="B4" s="1121">
        <v>1997</v>
      </c>
      <c r="C4" s="1122">
        <v>1998</v>
      </c>
      <c r="D4" s="1122">
        <v>1999</v>
      </c>
      <c r="E4" s="1122">
        <v>2000</v>
      </c>
      <c r="F4" s="1123">
        <v>2001</v>
      </c>
      <c r="G4" s="1116" t="s">
        <v>406</v>
      </c>
    </row>
    <row r="5" spans="1:7" ht="12.75">
      <c r="A5" s="684" t="s">
        <v>461</v>
      </c>
      <c r="B5" s="923">
        <f>'9 Výsledovka'!D29</f>
        <v>30740.699999999997</v>
      </c>
      <c r="C5" s="924">
        <f>'9 Výsledovka'!E29</f>
        <v>36462.762</v>
      </c>
      <c r="D5" s="924">
        <f>'9 Výsledovka'!F29</f>
        <v>18296.423099999996</v>
      </c>
      <c r="E5" s="924">
        <f>'9 Výsledovka'!G29</f>
        <v>50171.926553</v>
      </c>
      <c r="F5" s="925">
        <f>'9 Výsledovka'!H29</f>
        <v>50774.43623306</v>
      </c>
      <c r="G5" s="206"/>
    </row>
    <row r="6" spans="1:7" ht="12.75">
      <c r="A6" s="206" t="s">
        <v>577</v>
      </c>
      <c r="B6" s="670">
        <f>'9 Výsledovka'!D13</f>
        <v>24292</v>
      </c>
      <c r="C6" s="611">
        <f>'9 Výsledovka'!E13</f>
        <v>23096</v>
      </c>
      <c r="D6" s="611">
        <f>'9 Výsledovka'!F13</f>
        <v>36640</v>
      </c>
      <c r="E6" s="611">
        <f>'9 Výsledovka'!G13</f>
        <v>36310</v>
      </c>
      <c r="F6" s="973">
        <f>'9 Výsledovka'!H13</f>
        <v>35372</v>
      </c>
      <c r="G6" s="206"/>
    </row>
    <row r="7" spans="1:7" ht="12.75">
      <c r="A7" s="206" t="s">
        <v>587</v>
      </c>
      <c r="B7" s="670">
        <f>-('9 Výsledovka'!D18+'9 Výsledovka'!D19)</f>
        <v>-608.7</v>
      </c>
      <c r="C7" s="611">
        <f>-('9 Výsledovka'!E18+'9 Výsledovka'!E19)</f>
        <v>-835.7619999999972</v>
      </c>
      <c r="D7" s="611">
        <f>-('9 Výsledovka'!F18+'9 Výsledovka'!F19)</f>
        <v>-1285.423099999998</v>
      </c>
      <c r="E7" s="611">
        <f>-('9 Výsledovka'!G18+'9 Výsledovka'!G19)</f>
        <v>-616.9265529999986</v>
      </c>
      <c r="F7" s="973">
        <f>-('9 Výsledovka'!H18+'9 Výsledovka'!H19)</f>
        <v>-486.43623305999904</v>
      </c>
      <c r="G7" s="206"/>
    </row>
    <row r="8" spans="1:7" ht="12.75">
      <c r="A8" s="206" t="s">
        <v>583</v>
      </c>
      <c r="B8" s="670">
        <f>-'9 Výsledovka'!D14</f>
        <v>0</v>
      </c>
      <c r="C8" s="611">
        <f>-'9 Výsledovka'!E14</f>
        <v>0</v>
      </c>
      <c r="D8" s="611">
        <f>-'9 Výsledovka'!F14</f>
        <v>0</v>
      </c>
      <c r="E8" s="611">
        <f>-'9 Výsledovka'!G14</f>
        <v>-15370</v>
      </c>
      <c r="F8" s="973">
        <f>-'9 Výsledovka'!H14</f>
        <v>0</v>
      </c>
      <c r="G8" s="206"/>
    </row>
    <row r="9" spans="1:7" ht="12.75">
      <c r="A9" s="206" t="s">
        <v>752</v>
      </c>
      <c r="B9" s="670">
        <f>+'9 Výsledovka'!D15</f>
        <v>0</v>
      </c>
      <c r="C9" s="611">
        <f>+'9 Výsledovka'!E15</f>
        <v>0</v>
      </c>
      <c r="D9" s="611">
        <f>+'9 Výsledovka'!F15</f>
        <v>0</v>
      </c>
      <c r="E9" s="611">
        <f>+'9 Výsledovka'!G15</f>
        <v>6656</v>
      </c>
      <c r="F9" s="973">
        <f>+'9 Výsledovka'!H15</f>
        <v>0</v>
      </c>
      <c r="G9" s="206"/>
    </row>
    <row r="10" spans="1:7" ht="12.75">
      <c r="A10" s="206" t="s">
        <v>753</v>
      </c>
      <c r="B10" s="670"/>
      <c r="C10" s="611"/>
      <c r="D10" s="611"/>
      <c r="E10" s="611">
        <v>2000</v>
      </c>
      <c r="F10" s="973"/>
      <c r="G10" s="206"/>
    </row>
    <row r="11" spans="1:7" ht="12.75">
      <c r="A11" s="206" t="s">
        <v>585</v>
      </c>
      <c r="B11" s="670">
        <f>-'9 Výsledovka'!D24</f>
        <v>-6238</v>
      </c>
      <c r="C11" s="611">
        <f>-'9 Výsledovka'!E24</f>
        <v>-7320</v>
      </c>
      <c r="D11" s="611">
        <f>-'9 Výsledovka'!F24</f>
        <v>-2172</v>
      </c>
      <c r="E11" s="611">
        <f>-'9 Výsledovka'!G24</f>
        <v>-5262</v>
      </c>
      <c r="F11" s="973">
        <f>-'9 Výsledovka'!H24</f>
        <v>-4618</v>
      </c>
      <c r="G11" s="206"/>
    </row>
    <row r="12" spans="1:7" ht="12.75">
      <c r="A12" s="169" t="s">
        <v>586</v>
      </c>
      <c r="B12" s="181">
        <f>'9 Výsledovka'!D25</f>
        <v>5756</v>
      </c>
      <c r="C12" s="179">
        <f>'9 Výsledovka'!E25</f>
        <v>7456</v>
      </c>
      <c r="D12" s="179">
        <f>'9 Výsledovka'!F25</f>
        <v>7978</v>
      </c>
      <c r="E12" s="179">
        <f>'9 Výsledovka'!G25</f>
        <v>8230</v>
      </c>
      <c r="F12" s="182">
        <f>'9 Výsledovka'!H25</f>
        <v>2256</v>
      </c>
      <c r="G12" s="206"/>
    </row>
    <row r="13" spans="1:7" ht="12.75">
      <c r="A13" s="684" t="s">
        <v>594</v>
      </c>
      <c r="B13" s="923">
        <f>SUM(B5:B12)</f>
        <v>53942</v>
      </c>
      <c r="C13" s="924">
        <f>SUM(C5:C12)</f>
        <v>58859.00000000001</v>
      </c>
      <c r="D13" s="924">
        <f>SUM(D5:D12)</f>
        <v>59457</v>
      </c>
      <c r="E13" s="924">
        <f>SUM(E5:E12)</f>
        <v>82119</v>
      </c>
      <c r="F13" s="925">
        <f>SUM(F5:F12)</f>
        <v>83298</v>
      </c>
      <c r="G13" s="206"/>
    </row>
    <row r="14" spans="1:7" ht="12.75">
      <c r="A14" s="1177" t="s">
        <v>578</v>
      </c>
      <c r="B14" s="1178">
        <f>'6 Vnější potenciál'!F7/100</f>
        <v>1.085</v>
      </c>
      <c r="C14" s="1179">
        <f>'6 Vnější potenciál'!$F$8/100</f>
        <v>1.107</v>
      </c>
      <c r="D14" s="1179">
        <f>'6 Vnější potenciál'!$F$9/100</f>
        <v>1.021</v>
      </c>
      <c r="E14" s="1179">
        <f>'6 Vnější potenciál'!$F$10/100</f>
        <v>1.0390000000000001</v>
      </c>
      <c r="F14" s="1180">
        <f>'6 Vnější potenciál'!$F$11/100</f>
        <v>1.047</v>
      </c>
      <c r="G14" s="206"/>
    </row>
    <row r="15" spans="1:7" ht="12.75">
      <c r="A15" s="1181" t="s">
        <v>595</v>
      </c>
      <c r="B15" s="1182">
        <f>1/(C14*D14*E14*F14)</f>
        <v>0.8133255354954789</v>
      </c>
      <c r="C15" s="1183">
        <f>1/(D14*E14*F14)</f>
        <v>0.9003513677934951</v>
      </c>
      <c r="D15" s="1183">
        <f>1/(E14*F14)</f>
        <v>0.9192587465171583</v>
      </c>
      <c r="E15" s="1183">
        <f>1/F14</f>
        <v>0.9551098376313276</v>
      </c>
      <c r="F15" s="1184">
        <v>1</v>
      </c>
      <c r="G15" s="206"/>
    </row>
    <row r="16" spans="1:7" ht="12.75">
      <c r="A16" s="206" t="s">
        <v>579</v>
      </c>
      <c r="B16" s="670">
        <f>B13/B15</f>
        <v>66322.76701743843</v>
      </c>
      <c r="C16" s="611">
        <f>C13/C15</f>
        <v>65373.366560487004</v>
      </c>
      <c r="D16" s="611">
        <f>D13/D15</f>
        <v>64679.286681000005</v>
      </c>
      <c r="E16" s="611">
        <f>E13/E15</f>
        <v>85978.593</v>
      </c>
      <c r="F16" s="973">
        <f>F13/F15</f>
        <v>83298</v>
      </c>
      <c r="G16" s="597"/>
    </row>
    <row r="17" spans="1:7" ht="12.75">
      <c r="A17" s="169" t="s">
        <v>580</v>
      </c>
      <c r="B17" s="181">
        <v>1</v>
      </c>
      <c r="C17" s="179">
        <v>2</v>
      </c>
      <c r="D17" s="179">
        <v>3</v>
      </c>
      <c r="E17" s="179">
        <v>4</v>
      </c>
      <c r="F17" s="182">
        <v>5</v>
      </c>
      <c r="G17" s="1185">
        <f>SUM(B17:F17)</f>
        <v>15</v>
      </c>
    </row>
    <row r="18" spans="1:7" ht="13.5" thickBot="1">
      <c r="A18" s="94" t="s">
        <v>596</v>
      </c>
      <c r="B18" s="671">
        <f>B16*B17</f>
        <v>66322.76701743843</v>
      </c>
      <c r="C18" s="612">
        <f>C16*C17</f>
        <v>130746.73312097401</v>
      </c>
      <c r="D18" s="612">
        <f>D16*D17</f>
        <v>194037.86004300002</v>
      </c>
      <c r="E18" s="612">
        <f>E16*E17</f>
        <v>343914.372</v>
      </c>
      <c r="F18" s="1127">
        <f>F16*F17</f>
        <v>416490</v>
      </c>
      <c r="G18" s="279">
        <f>SUM(B18:F18)</f>
        <v>1151511.7321814124</v>
      </c>
    </row>
    <row r="19" spans="2:7" ht="12.75">
      <c r="B19" s="15"/>
      <c r="C19" s="15"/>
      <c r="D19" s="15"/>
      <c r="E19" s="15"/>
      <c r="F19" s="15"/>
      <c r="G19" s="15"/>
    </row>
    <row r="20" spans="1:7" ht="12.75">
      <c r="A20" s="1047" t="s">
        <v>581</v>
      </c>
      <c r="B20" s="970">
        <f>G18/G17</f>
        <v>76767.44881209415</v>
      </c>
      <c r="C20" s="15"/>
      <c r="D20" s="15"/>
      <c r="E20" s="15"/>
      <c r="F20" s="15"/>
      <c r="G20" s="15"/>
    </row>
    <row r="21" spans="1:6" ht="12.75">
      <c r="A21" s="1050" t="s">
        <v>582</v>
      </c>
      <c r="B21" s="179">
        <v>42500</v>
      </c>
      <c r="C21" s="15"/>
      <c r="D21" s="15"/>
      <c r="E21" s="15"/>
      <c r="F21" s="15"/>
    </row>
    <row r="22" spans="1:6" ht="12.75">
      <c r="A22" s="1097" t="s">
        <v>588</v>
      </c>
      <c r="B22" s="924">
        <f>B20-B21</f>
        <v>34267.44881209415</v>
      </c>
      <c r="C22" s="15"/>
      <c r="D22" s="15"/>
      <c r="E22" s="15"/>
      <c r="F22" s="15"/>
    </row>
    <row r="23" spans="1:6" ht="12.75">
      <c r="A23" s="1049" t="s">
        <v>589</v>
      </c>
      <c r="B23" s="611">
        <f>B20-F6</f>
        <v>41395.44881209415</v>
      </c>
      <c r="C23" s="15"/>
      <c r="D23" s="15"/>
      <c r="E23" s="15"/>
      <c r="F23" s="15"/>
    </row>
    <row r="24" spans="1:6" ht="12.75">
      <c r="A24" s="1050" t="s">
        <v>590</v>
      </c>
      <c r="B24" s="179">
        <f>B23*'18 Plán'!F3</f>
        <v>12832.589131749188</v>
      </c>
      <c r="C24" s="15"/>
      <c r="D24" s="15"/>
      <c r="E24" s="15"/>
      <c r="F24" s="15"/>
    </row>
    <row r="25" spans="1:6" ht="12.75">
      <c r="A25" s="1112" t="s">
        <v>591</v>
      </c>
      <c r="B25" s="1186">
        <f>B22-B24</f>
        <v>21434.859680344965</v>
      </c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1:6" ht="12.75">
      <c r="A27" s="1047" t="s">
        <v>593</v>
      </c>
      <c r="B27" s="1187">
        <v>0.03</v>
      </c>
      <c r="C27" s="15"/>
      <c r="D27" s="15"/>
      <c r="E27" s="15"/>
      <c r="F27" s="15"/>
    </row>
    <row r="28" spans="1:6" ht="14.25">
      <c r="A28" s="1094" t="s">
        <v>592</v>
      </c>
      <c r="B28" s="1188">
        <f>'19 nVK - CAPM'!B21-'24 KČV'!B27</f>
        <v>0.11399999999999999</v>
      </c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1:6" ht="12.75">
      <c r="A30" s="1189" t="s">
        <v>584</v>
      </c>
      <c r="B30" s="930">
        <f>B25/B28</f>
        <v>188025.08491530674</v>
      </c>
      <c r="C30" s="15"/>
      <c r="D30" s="15"/>
      <c r="E30" s="15"/>
      <c r="F30" s="15"/>
    </row>
    <row r="31" spans="1:6" ht="12.75">
      <c r="A31" s="1050" t="s">
        <v>370</v>
      </c>
      <c r="B31" s="179">
        <f>'22 DCF'!D59</f>
        <v>5128.5796432357565</v>
      </c>
      <c r="C31" s="15"/>
      <c r="D31" s="15"/>
      <c r="E31" s="15"/>
      <c r="F31" s="15"/>
    </row>
    <row r="32" spans="1:6" ht="12.75">
      <c r="A32" s="1112" t="s">
        <v>712</v>
      </c>
      <c r="B32" s="1186">
        <f>B30+B31</f>
        <v>193153.66455854248</v>
      </c>
      <c r="C32" s="15"/>
      <c r="D32" s="15"/>
      <c r="E32" s="15"/>
      <c r="F32" s="15"/>
    </row>
  </sheetData>
  <hyperlinks>
    <hyperlink ref="G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14.75390625" style="0" customWidth="1"/>
    <col min="3" max="3" width="16.25390625" style="0" customWidth="1"/>
    <col min="4" max="4" width="12.25390625" style="0" customWidth="1"/>
    <col min="5" max="5" width="12.875" style="0" customWidth="1"/>
  </cols>
  <sheetData>
    <row r="1" spans="1:5" ht="21" customHeight="1">
      <c r="A1" s="740" t="s">
        <v>689</v>
      </c>
      <c r="E1" s="1248" t="s">
        <v>785</v>
      </c>
    </row>
    <row r="2" ht="9.75" customHeight="1"/>
    <row r="3" spans="1:4" ht="13.5" customHeight="1">
      <c r="A3" s="1191" t="s">
        <v>325</v>
      </c>
      <c r="B3" s="1192"/>
      <c r="C3" s="1191"/>
      <c r="D3" s="1193">
        <f>'8 Rozvaha'!G14</f>
        <v>7232</v>
      </c>
    </row>
    <row r="5" ht="13.5" thickBot="1">
      <c r="A5" s="570" t="s">
        <v>326</v>
      </c>
    </row>
    <row r="6" spans="1:4" ht="26.25" thickBot="1">
      <c r="A6" s="249" t="s">
        <v>318</v>
      </c>
      <c r="B6" s="630" t="s">
        <v>319</v>
      </c>
      <c r="C6" s="636" t="s">
        <v>320</v>
      </c>
      <c r="D6" s="633" t="s">
        <v>321</v>
      </c>
    </row>
    <row r="7" spans="2:4" ht="12.75">
      <c r="B7" s="252">
        <v>37346</v>
      </c>
      <c r="C7" s="254">
        <v>3</v>
      </c>
      <c r="D7" s="250">
        <v>400</v>
      </c>
    </row>
    <row r="8" spans="2:4" ht="12.75">
      <c r="B8" s="252">
        <v>37437</v>
      </c>
      <c r="C8" s="254">
        <v>6</v>
      </c>
      <c r="D8" s="250">
        <v>400</v>
      </c>
    </row>
    <row r="9" spans="2:4" ht="12.75">
      <c r="B9" s="252">
        <v>37529</v>
      </c>
      <c r="C9" s="254">
        <v>9</v>
      </c>
      <c r="D9" s="250">
        <v>400</v>
      </c>
    </row>
    <row r="10" spans="2:4" ht="12.75">
      <c r="B10" s="256">
        <v>37621</v>
      </c>
      <c r="C10" s="165">
        <v>12</v>
      </c>
      <c r="D10" s="257">
        <v>400</v>
      </c>
    </row>
    <row r="11" spans="2:4" ht="12.75">
      <c r="B11" s="252">
        <v>37711</v>
      </c>
      <c r="C11" s="254">
        <v>15</v>
      </c>
      <c r="D11" s="250">
        <v>400</v>
      </c>
    </row>
    <row r="12" spans="2:4" ht="12.75">
      <c r="B12" s="252">
        <v>37802</v>
      </c>
      <c r="C12" s="254">
        <v>18</v>
      </c>
      <c r="D12" s="250">
        <v>400</v>
      </c>
    </row>
    <row r="13" spans="2:4" ht="12.75">
      <c r="B13" s="252">
        <v>37894</v>
      </c>
      <c r="C13" s="254">
        <v>21</v>
      </c>
      <c r="D13" s="250">
        <v>400</v>
      </c>
    </row>
    <row r="14" spans="2:4" ht="13.5" thickBot="1">
      <c r="B14" s="252">
        <v>37986</v>
      </c>
      <c r="C14" s="254">
        <v>24</v>
      </c>
      <c r="D14" s="250">
        <v>400</v>
      </c>
    </row>
    <row r="15" spans="2:4" ht="13.5" thickBot="1">
      <c r="B15" s="253" t="s">
        <v>162</v>
      </c>
      <c r="C15" s="255"/>
      <c r="D15" s="251">
        <f>SUM(D7:D14)</f>
        <v>3200</v>
      </c>
    </row>
    <row r="17" ht="13.5" thickBot="1">
      <c r="A17" s="1" t="s">
        <v>322</v>
      </c>
    </row>
    <row r="18" spans="1:4" ht="12.75">
      <c r="A18" s="260" t="s">
        <v>323</v>
      </c>
      <c r="B18" s="261"/>
      <c r="C18" s="261"/>
      <c r="D18" s="262">
        <v>5000</v>
      </c>
    </row>
    <row r="19" spans="1:4" ht="13.5" thickBot="1">
      <c r="A19" s="258" t="s">
        <v>324</v>
      </c>
      <c r="B19" s="16"/>
      <c r="C19" s="16"/>
      <c r="D19" s="259">
        <f>MIN(D18,D3-D15)</f>
        <v>4032</v>
      </c>
    </row>
    <row r="21" ht="12.75">
      <c r="A21" s="570" t="s">
        <v>327</v>
      </c>
    </row>
    <row r="22" spans="1:4" ht="12.75">
      <c r="A22" s="110" t="s">
        <v>337</v>
      </c>
      <c r="B22" s="329"/>
      <c r="C22" s="329"/>
      <c r="D22" s="98">
        <v>10.5</v>
      </c>
    </row>
    <row r="23" spans="1:4" ht="12.75">
      <c r="A23" s="1047" t="s">
        <v>328</v>
      </c>
      <c r="B23" s="1048"/>
      <c r="C23" s="1048"/>
      <c r="D23" s="332"/>
    </row>
    <row r="24" spans="1:4" ht="12.75">
      <c r="A24" s="1049"/>
      <c r="B24" s="31" t="s">
        <v>329</v>
      </c>
      <c r="C24" s="31">
        <f>15-0.5-0.5-0.7-0.5-0+0-0.5-0</f>
        <v>12.3</v>
      </c>
      <c r="D24" s="335"/>
    </row>
    <row r="25" spans="1:4" ht="12.75">
      <c r="A25" s="1050"/>
      <c r="B25" s="336" t="s">
        <v>330</v>
      </c>
      <c r="C25" s="336">
        <v>1</v>
      </c>
      <c r="D25" s="909"/>
    </row>
    <row r="26" spans="1:4" ht="12.75">
      <c r="A26" s="1097" t="s">
        <v>318</v>
      </c>
      <c r="B26" s="31"/>
      <c r="C26" s="31"/>
      <c r="D26" s="335"/>
    </row>
    <row r="27" spans="1:4" ht="12.75">
      <c r="A27" s="1049" t="s">
        <v>331</v>
      </c>
      <c r="B27" s="31"/>
      <c r="C27" s="31"/>
      <c r="D27" s="335">
        <f>C24*C25</f>
        <v>12.3</v>
      </c>
    </row>
    <row r="28" spans="1:4" ht="12.75">
      <c r="A28" s="1194" t="s">
        <v>332</v>
      </c>
      <c r="B28" s="1195"/>
      <c r="C28" s="1195"/>
      <c r="D28" s="1196">
        <f>D22+D27</f>
        <v>22.8</v>
      </c>
    </row>
    <row r="29" spans="1:4" ht="12.75">
      <c r="A29" s="1097" t="s">
        <v>333</v>
      </c>
      <c r="B29" s="31"/>
      <c r="C29" s="31"/>
      <c r="D29" s="335"/>
    </row>
    <row r="30" spans="1:4" ht="12.75">
      <c r="A30" s="1049" t="s">
        <v>331</v>
      </c>
      <c r="B30" s="31"/>
      <c r="C30" s="31"/>
      <c r="D30" s="335">
        <f>(C24+15)*C25</f>
        <v>27.3</v>
      </c>
    </row>
    <row r="31" spans="1:4" ht="12.75">
      <c r="A31" s="1197" t="s">
        <v>332</v>
      </c>
      <c r="B31" s="1198"/>
      <c r="C31" s="1198"/>
      <c r="D31" s="1199">
        <f>D22+D30</f>
        <v>37.8</v>
      </c>
    </row>
    <row r="33" ht="13.5" thickBot="1">
      <c r="A33" s="570" t="s">
        <v>334</v>
      </c>
    </row>
    <row r="34" spans="1:5" ht="26.25" thickBot="1">
      <c r="A34" s="263" t="s">
        <v>318</v>
      </c>
      <c r="B34" s="630" t="s">
        <v>319</v>
      </c>
      <c r="C34" s="636" t="s">
        <v>320</v>
      </c>
      <c r="D34" s="633" t="s">
        <v>321</v>
      </c>
      <c r="E34" s="688" t="s">
        <v>335</v>
      </c>
    </row>
    <row r="35" spans="2:5" ht="12.75">
      <c r="B35" s="252">
        <v>37346</v>
      </c>
      <c r="C35" s="254">
        <v>3</v>
      </c>
      <c r="D35" s="250">
        <v>400</v>
      </c>
      <c r="E35" s="250">
        <f>D35/(1+$D$28/100)^(C35/12)</f>
        <v>379.97970358545035</v>
      </c>
    </row>
    <row r="36" spans="2:5" ht="12.75">
      <c r="B36" s="252">
        <v>37437</v>
      </c>
      <c r="C36" s="254">
        <v>6</v>
      </c>
      <c r="D36" s="250">
        <v>400</v>
      </c>
      <c r="E36" s="250">
        <f aca="true" t="shared" si="0" ref="E36:E42">D36/(1+$D$28/100)^(C36/12)</f>
        <v>360.9614378422168</v>
      </c>
    </row>
    <row r="37" spans="2:5" ht="12.75">
      <c r="B37" s="252">
        <v>37529</v>
      </c>
      <c r="C37" s="254">
        <v>9</v>
      </c>
      <c r="D37" s="250">
        <v>400</v>
      </c>
      <c r="E37" s="250">
        <f t="shared" si="0"/>
        <v>342.89505039265873</v>
      </c>
    </row>
    <row r="38" spans="2:5" ht="12.75">
      <c r="B38" s="256">
        <v>37621</v>
      </c>
      <c r="C38" s="165">
        <v>12</v>
      </c>
      <c r="D38" s="257">
        <v>400</v>
      </c>
      <c r="E38" s="257">
        <f t="shared" si="0"/>
        <v>325.7328990228013</v>
      </c>
    </row>
    <row r="39" spans="2:5" ht="12.75">
      <c r="B39" s="252">
        <v>37711</v>
      </c>
      <c r="C39" s="254">
        <v>15</v>
      </c>
      <c r="D39" s="250">
        <v>400</v>
      </c>
      <c r="E39" s="250">
        <f t="shared" si="0"/>
        <v>309.4297260467837</v>
      </c>
    </row>
    <row r="40" spans="2:5" ht="12.75">
      <c r="B40" s="252">
        <v>37802</v>
      </c>
      <c r="C40" s="254">
        <v>18</v>
      </c>
      <c r="D40" s="250">
        <v>400</v>
      </c>
      <c r="E40" s="250">
        <f t="shared" si="0"/>
        <v>293.9425389594599</v>
      </c>
    </row>
    <row r="41" spans="2:5" ht="12.75">
      <c r="B41" s="252">
        <v>37894</v>
      </c>
      <c r="C41" s="254">
        <v>21</v>
      </c>
      <c r="D41" s="250">
        <v>400</v>
      </c>
      <c r="E41" s="250">
        <f t="shared" si="0"/>
        <v>279.2304970624257</v>
      </c>
    </row>
    <row r="42" spans="2:5" ht="13.5" thickBot="1">
      <c r="B42" s="252">
        <v>37986</v>
      </c>
      <c r="C42" s="254">
        <v>24</v>
      </c>
      <c r="D42" s="250">
        <v>400</v>
      </c>
      <c r="E42" s="250">
        <f t="shared" si="0"/>
        <v>265.25480376449616</v>
      </c>
    </row>
    <row r="43" spans="2:5" ht="13.5" thickBot="1">
      <c r="B43" s="253" t="s">
        <v>162</v>
      </c>
      <c r="C43" s="255"/>
      <c r="D43" s="251">
        <f>SUM(D35:D42)</f>
        <v>3200</v>
      </c>
      <c r="E43" s="1200">
        <f>SUM(E35:E42)</f>
        <v>2557.426656676292</v>
      </c>
    </row>
    <row r="45" ht="12.75">
      <c r="A45" s="1" t="s">
        <v>333</v>
      </c>
    </row>
    <row r="46" spans="1:5" ht="13.5" thickBot="1">
      <c r="A46" t="s">
        <v>338</v>
      </c>
      <c r="E46">
        <f>C42+12</f>
        <v>36</v>
      </c>
    </row>
    <row r="47" ht="13.5" thickBot="1">
      <c r="E47" s="1201">
        <f>D19/(1+D31/100)^(E46/12)</f>
        <v>1540.8943783278296</v>
      </c>
    </row>
    <row r="48" ht="13.5" thickBot="1"/>
    <row r="49" spans="1:5" ht="13.5" thickBot="1">
      <c r="A49" s="570" t="s">
        <v>721</v>
      </c>
      <c r="E49" s="264">
        <f>E43+E47</f>
        <v>4098.321035004122</v>
      </c>
    </row>
  </sheetData>
  <hyperlinks>
    <hyperlink ref="E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0.375" style="0" customWidth="1"/>
    <col min="2" max="2" width="9.625" style="0" bestFit="1" customWidth="1"/>
    <col min="4" max="4" width="12.375" style="0" customWidth="1"/>
    <col min="6" max="6" width="4.75390625" style="0" customWidth="1"/>
  </cols>
  <sheetData>
    <row r="1" spans="1:6" ht="21" customHeight="1">
      <c r="A1" s="740" t="s">
        <v>690</v>
      </c>
      <c r="E1" s="1247"/>
      <c r="F1" s="1248" t="s">
        <v>785</v>
      </c>
    </row>
    <row r="3" ht="12.75">
      <c r="A3" s="570" t="s">
        <v>723</v>
      </c>
    </row>
    <row r="5" spans="1:3" ht="12.75">
      <c r="A5" s="96" t="s">
        <v>339</v>
      </c>
      <c r="B5" s="176">
        <f>'8 Rozvaha'!G13</f>
        <v>1274</v>
      </c>
      <c r="C5" s="98" t="s">
        <v>336</v>
      </c>
    </row>
    <row r="7" spans="1:3" ht="12.75">
      <c r="A7" s="991" t="s">
        <v>340</v>
      </c>
      <c r="B7" s="1047">
        <v>7</v>
      </c>
      <c r="C7" s="332"/>
    </row>
    <row r="8" spans="1:3" ht="12.75">
      <c r="A8" s="254" t="s">
        <v>563</v>
      </c>
      <c r="B8" s="1049">
        <f>'9 Výsledovka'!H18</f>
        <v>63.7</v>
      </c>
      <c r="C8" s="335" t="s">
        <v>336</v>
      </c>
    </row>
    <row r="9" spans="1:3" ht="12.75">
      <c r="A9" s="254" t="s">
        <v>564</v>
      </c>
      <c r="B9" s="1202">
        <f>B8*(1-'18 Plán'!F3)</f>
        <v>43.952999999999996</v>
      </c>
      <c r="C9" s="335" t="s">
        <v>336</v>
      </c>
    </row>
    <row r="10" spans="1:3" ht="12.75">
      <c r="A10" s="165" t="s">
        <v>722</v>
      </c>
      <c r="B10" s="1203">
        <v>0.07</v>
      </c>
      <c r="C10" s="909"/>
    </row>
    <row r="12" ht="12.75">
      <c r="A12" s="570" t="s">
        <v>341</v>
      </c>
    </row>
    <row r="13" ht="12.75">
      <c r="A13" s="570"/>
    </row>
    <row r="14" spans="1:3" ht="12.75">
      <c r="A14" s="1047" t="s">
        <v>724</v>
      </c>
      <c r="B14" s="1047">
        <f>(1-1/(1+B10)^B7)/B10</f>
        <v>5.389289401648698</v>
      </c>
      <c r="C14" s="332"/>
    </row>
    <row r="15" spans="1:3" ht="12.75">
      <c r="A15" s="1049" t="s">
        <v>725</v>
      </c>
      <c r="B15" s="609">
        <f>B14*B9</f>
        <v>236.8754370706652</v>
      </c>
      <c r="C15" s="335" t="s">
        <v>336</v>
      </c>
    </row>
    <row r="16" spans="1:3" ht="12.75">
      <c r="A16" s="1050" t="s">
        <v>726</v>
      </c>
      <c r="B16" s="180">
        <f>B5/(1+B10)^B7</f>
        <v>793.383171160969</v>
      </c>
      <c r="C16" s="909" t="s">
        <v>336</v>
      </c>
    </row>
    <row r="17" spans="1:3" ht="12.75">
      <c r="A17" s="1112" t="s">
        <v>727</v>
      </c>
      <c r="B17" s="1204">
        <f>B15+B16</f>
        <v>1030.2586082316343</v>
      </c>
      <c r="C17" s="1151" t="s">
        <v>336</v>
      </c>
    </row>
    <row r="19" ht="12.75">
      <c r="B19" s="15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78"/>
    </row>
  </sheetData>
  <hyperlinks>
    <hyperlink ref="F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3" width="13.625" style="0" customWidth="1"/>
    <col min="4" max="4" width="9.875" style="0" customWidth="1"/>
    <col min="5" max="5" width="15.25390625" style="0" customWidth="1"/>
  </cols>
  <sheetData>
    <row r="1" spans="1:8" ht="18" customHeight="1">
      <c r="A1" s="1028" t="s">
        <v>767</v>
      </c>
      <c r="G1" s="1247"/>
      <c r="H1" s="1248" t="s">
        <v>785</v>
      </c>
    </row>
    <row r="2" ht="11.25" customHeight="1">
      <c r="A2" s="1028"/>
    </row>
    <row r="3" spans="1:4" ht="18" customHeight="1">
      <c r="A3" s="1047" t="s">
        <v>768</v>
      </c>
      <c r="B3" s="332"/>
      <c r="C3" s="1093">
        <f>'22 DCF'!D60</f>
        <v>305406</v>
      </c>
      <c r="D3" s="332" t="s">
        <v>366</v>
      </c>
    </row>
    <row r="4" spans="1:4" ht="18" customHeight="1">
      <c r="A4" s="1049" t="s">
        <v>769</v>
      </c>
      <c r="B4" s="335"/>
      <c r="C4" s="85">
        <f>'23 EVA'!C33</f>
        <v>305405.77452539303</v>
      </c>
      <c r="D4" s="335" t="s">
        <v>366</v>
      </c>
    </row>
    <row r="5" spans="1:4" ht="18" customHeight="1">
      <c r="A5" s="1050" t="s">
        <v>777</v>
      </c>
      <c r="B5" s="909"/>
      <c r="C5" s="574">
        <f>'24 KČV'!B32</f>
        <v>193153.66455854248</v>
      </c>
      <c r="D5" s="909" t="s">
        <v>366</v>
      </c>
    </row>
    <row r="6" ht="18" customHeight="1"/>
    <row r="7" ht="18" customHeight="1">
      <c r="A7" s="1028" t="s">
        <v>770</v>
      </c>
    </row>
    <row r="8" ht="12.75" customHeight="1">
      <c r="A8" s="1028"/>
    </row>
    <row r="9" spans="1:4" ht="18" customHeight="1">
      <c r="A9" s="1047" t="s">
        <v>771</v>
      </c>
      <c r="B9" s="332"/>
      <c r="C9" s="1093">
        <f>'8 Rozvaha'!G28</f>
        <v>285865.24788606004</v>
      </c>
      <c r="D9" s="332" t="s">
        <v>366</v>
      </c>
    </row>
    <row r="10" spans="1:4" ht="18" customHeight="1">
      <c r="A10" s="1049" t="s">
        <v>772</v>
      </c>
      <c r="B10" s="335"/>
      <c r="C10" s="85">
        <v>260000</v>
      </c>
      <c r="D10" s="335" t="s">
        <v>366</v>
      </c>
    </row>
    <row r="11" spans="1:4" ht="18" customHeight="1">
      <c r="A11" s="1050" t="s">
        <v>773</v>
      </c>
      <c r="B11" s="909"/>
      <c r="C11" s="574">
        <v>90500</v>
      </c>
      <c r="D11" s="909" t="s">
        <v>366</v>
      </c>
    </row>
    <row r="14" ht="15.75">
      <c r="A14" s="1028" t="s">
        <v>719</v>
      </c>
    </row>
    <row r="16" ht="12.75">
      <c r="A16" s="570" t="s">
        <v>600</v>
      </c>
    </row>
    <row r="17" ht="12.75">
      <c r="A17" s="570"/>
    </row>
    <row r="18" spans="1:5" ht="12.75">
      <c r="A18" s="1101"/>
      <c r="B18" s="1190" t="s">
        <v>597</v>
      </c>
      <c r="C18" s="1190" t="s">
        <v>601</v>
      </c>
      <c r="E18" s="1" t="s">
        <v>720</v>
      </c>
    </row>
    <row r="19" spans="1:6" ht="15" customHeight="1">
      <c r="A19" s="254" t="s">
        <v>569</v>
      </c>
      <c r="B19" s="849">
        <f>F20/'18 Plán'!B36</f>
        <v>7.984379528096373</v>
      </c>
      <c r="C19" s="849">
        <v>19.96</v>
      </c>
      <c r="E19" s="1047" t="s">
        <v>604</v>
      </c>
      <c r="F19" s="970">
        <f>'22 DCF'!D60+'22 DCF'!D57</f>
        <v>424296.6</v>
      </c>
    </row>
    <row r="20" spans="1:6" ht="15" customHeight="1">
      <c r="A20" s="254" t="s">
        <v>598</v>
      </c>
      <c r="B20" s="849">
        <f>F20/'18 Plán'!B123</f>
        <v>1.068356515030916</v>
      </c>
      <c r="C20" s="849">
        <v>2.1</v>
      </c>
      <c r="E20" s="1050" t="s">
        <v>605</v>
      </c>
      <c r="F20" s="179">
        <f>'22 DCF'!D60</f>
        <v>305406</v>
      </c>
    </row>
    <row r="21" spans="1:3" ht="15" customHeight="1">
      <c r="A21" s="254" t="s">
        <v>602</v>
      </c>
      <c r="B21" s="849">
        <f>(F19)/'21 WACC'!B10</f>
        <v>1.034664721167376</v>
      </c>
      <c r="C21" s="849">
        <v>2.04</v>
      </c>
    </row>
    <row r="22" spans="1:5" ht="15" customHeight="1">
      <c r="A22" s="165" t="s">
        <v>570</v>
      </c>
      <c r="B22" s="854">
        <f>F20/'18 Plán'!B10</f>
        <v>0.1611676881492888</v>
      </c>
      <c r="C22" s="854">
        <v>0.3</v>
      </c>
      <c r="E22" s="1242" t="s">
        <v>778</v>
      </c>
    </row>
    <row r="23" spans="1:5" ht="15" customHeight="1">
      <c r="A23" s="254" t="s">
        <v>599</v>
      </c>
      <c r="B23" s="849">
        <f>(F19)/'18 Plán'!B10</f>
        <v>0.22390818160613585</v>
      </c>
      <c r="C23" s="849">
        <v>0.48</v>
      </c>
      <c r="E23" s="1243" t="s">
        <v>779</v>
      </c>
    </row>
    <row r="24" spans="1:5" ht="15" customHeight="1">
      <c r="A24" s="254" t="s">
        <v>603</v>
      </c>
      <c r="B24" s="849">
        <f>(F19)/('18 Plán'!B34+'18 Plán'!B23+'18 Plán'!B17)</f>
        <v>4.2352393887980035</v>
      </c>
      <c r="C24" s="849">
        <v>6.52</v>
      </c>
      <c r="E24" s="1242" t="s">
        <v>780</v>
      </c>
    </row>
    <row r="25" spans="1:5" ht="15" customHeight="1">
      <c r="A25" s="165" t="s">
        <v>571</v>
      </c>
      <c r="B25" s="854">
        <f>(F19)/('18 Plán'!B34+'18 Plán'!B23)</f>
        <v>6.546732666236322</v>
      </c>
      <c r="C25" s="854">
        <v>14.37</v>
      </c>
      <c r="E25" s="1243" t="s">
        <v>781</v>
      </c>
    </row>
    <row r="26" ht="18" customHeight="1"/>
    <row r="27" ht="15.75">
      <c r="A27" s="1028" t="s">
        <v>776</v>
      </c>
    </row>
    <row r="28" ht="13.5" thickBot="1"/>
    <row r="29" spans="1:4" ht="19.5" customHeight="1" thickBot="1">
      <c r="A29" s="1238" t="s">
        <v>775</v>
      </c>
      <c r="B29" s="1239"/>
      <c r="C29" s="1240">
        <f>ROUND(C3,-3)</f>
        <v>305000</v>
      </c>
      <c r="D29" s="1241" t="s">
        <v>366</v>
      </c>
    </row>
    <row r="31" ht="15.75" customHeight="1"/>
    <row r="32" spans="1:4" ht="18" customHeight="1">
      <c r="A32" s="1235" t="s">
        <v>774</v>
      </c>
      <c r="B32" s="1236"/>
      <c r="C32" s="1237">
        <f>C29-C10</f>
        <v>45000</v>
      </c>
      <c r="D32" s="1236" t="s">
        <v>366</v>
      </c>
    </row>
  </sheetData>
  <hyperlinks>
    <hyperlink ref="H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11.75390625" style="0" customWidth="1"/>
    <col min="10" max="10" width="1.00390625" style="0" customWidth="1"/>
  </cols>
  <sheetData>
    <row r="1" spans="1:9" s="593" customFormat="1" ht="21" customHeight="1">
      <c r="A1" s="592" t="s">
        <v>615</v>
      </c>
      <c r="I1" s="1248" t="s">
        <v>785</v>
      </c>
    </row>
    <row r="2" s="593" customFormat="1" ht="21" customHeight="1">
      <c r="A2" s="594" t="s">
        <v>620</v>
      </c>
    </row>
    <row r="4" ht="12.75">
      <c r="A4" t="s">
        <v>152</v>
      </c>
    </row>
    <row r="5" ht="13.5" thickBot="1"/>
    <row r="6" spans="1:2" ht="12.75">
      <c r="A6" s="21" t="s">
        <v>153</v>
      </c>
      <c r="B6" s="21"/>
    </row>
    <row r="7" spans="1:2" ht="12.75">
      <c r="A7" s="589" t="s">
        <v>154</v>
      </c>
      <c r="B7" s="589">
        <v>0.9890868710823617</v>
      </c>
    </row>
    <row r="8" spans="1:2" ht="12.75">
      <c r="A8" s="18" t="s">
        <v>155</v>
      </c>
      <c r="B8" s="18">
        <v>0.9782928385474964</v>
      </c>
    </row>
    <row r="9" spans="1:2" ht="12.75">
      <c r="A9" s="18" t="s">
        <v>156</v>
      </c>
      <c r="B9" s="18">
        <v>0.9739514062569956</v>
      </c>
    </row>
    <row r="10" spans="1:2" ht="12.75">
      <c r="A10" s="18" t="s">
        <v>157</v>
      </c>
      <c r="B10" s="18">
        <v>432.9502626132854</v>
      </c>
    </row>
    <row r="11" spans="1:2" ht="13.5" thickBot="1">
      <c r="A11" s="19" t="s">
        <v>158</v>
      </c>
      <c r="B11" s="19">
        <v>7</v>
      </c>
    </row>
    <row r="13" ht="13.5" thickBot="1">
      <c r="A13" t="s">
        <v>159</v>
      </c>
    </row>
    <row r="14" spans="1:6" ht="12.75">
      <c r="A14" s="20"/>
      <c r="B14" s="20" t="s">
        <v>164</v>
      </c>
      <c r="C14" s="20" t="s">
        <v>165</v>
      </c>
      <c r="D14" s="20" t="s">
        <v>166</v>
      </c>
      <c r="E14" s="20" t="s">
        <v>167</v>
      </c>
      <c r="F14" s="20" t="s">
        <v>168</v>
      </c>
    </row>
    <row r="15" spans="1:6" ht="12.75">
      <c r="A15" s="18" t="s">
        <v>160</v>
      </c>
      <c r="B15" s="18">
        <v>1</v>
      </c>
      <c r="C15" s="18">
        <v>42238827.779086865</v>
      </c>
      <c r="D15" s="18">
        <v>42238827.779086865</v>
      </c>
      <c r="E15" s="18">
        <v>225.33872995970844</v>
      </c>
      <c r="F15" s="18">
        <v>2.375654558693702E-05</v>
      </c>
    </row>
    <row r="16" spans="1:6" ht="12.75">
      <c r="A16" s="18" t="s">
        <v>161</v>
      </c>
      <c r="B16" s="18">
        <v>5</v>
      </c>
      <c r="C16" s="18">
        <v>937229.6494845639</v>
      </c>
      <c r="D16" s="18">
        <v>187445.92989691277</v>
      </c>
      <c r="E16" s="18"/>
      <c r="F16" s="18"/>
    </row>
    <row r="17" spans="1:6" ht="13.5" thickBot="1">
      <c r="A17" s="19" t="s">
        <v>162</v>
      </c>
      <c r="B17" s="19">
        <v>6</v>
      </c>
      <c r="C17" s="19">
        <v>43176057.42857143</v>
      </c>
      <c r="D17" s="19"/>
      <c r="E17" s="19"/>
      <c r="F17" s="19"/>
    </row>
    <row r="18" ht="13.5" thickBot="1"/>
    <row r="19" spans="1:9" ht="12.75">
      <c r="A19" s="590"/>
      <c r="B19" s="590" t="s">
        <v>169</v>
      </c>
      <c r="C19" s="20" t="s">
        <v>157</v>
      </c>
      <c r="D19" s="20" t="s">
        <v>170</v>
      </c>
      <c r="E19" s="20" t="s">
        <v>171</v>
      </c>
      <c r="F19" s="20" t="s">
        <v>172</v>
      </c>
      <c r="G19" s="20" t="s">
        <v>173</v>
      </c>
      <c r="H19" s="20" t="s">
        <v>174</v>
      </c>
      <c r="I19" s="20" t="s">
        <v>175</v>
      </c>
    </row>
    <row r="20" spans="1:9" ht="12.75">
      <c r="A20" s="589" t="s">
        <v>163</v>
      </c>
      <c r="B20" s="589">
        <v>-1240.9278481260153</v>
      </c>
      <c r="C20" s="18">
        <v>1209.0381419798302</v>
      </c>
      <c r="D20" s="18">
        <v>-1.0263760960377684</v>
      </c>
      <c r="E20" s="18">
        <v>0.35178124434857405</v>
      </c>
      <c r="F20" s="18">
        <v>-4348.854255999464</v>
      </c>
      <c r="G20" s="18">
        <v>1866.9985597474338</v>
      </c>
      <c r="H20" s="18">
        <v>-4348.854255999464</v>
      </c>
      <c r="I20" s="18">
        <v>1866.9985597474338</v>
      </c>
    </row>
    <row r="21" spans="1:9" ht="13.5" thickBot="1">
      <c r="A21" s="591" t="s">
        <v>146</v>
      </c>
      <c r="B21" s="591">
        <v>0.01006039770978551</v>
      </c>
      <c r="C21" s="19">
        <v>0.0006701888969142257</v>
      </c>
      <c r="D21" s="19">
        <v>15.011286752297679</v>
      </c>
      <c r="E21" s="19">
        <v>2.3756545586937174E-05</v>
      </c>
      <c r="F21" s="19">
        <v>0.008337625120020474</v>
      </c>
      <c r="G21" s="19">
        <v>0.011783170299550547</v>
      </c>
      <c r="H21" s="19">
        <v>0.008337625120020474</v>
      </c>
      <c r="I21" s="19">
        <v>0.011783170299550547</v>
      </c>
    </row>
    <row r="25" ht="12.75">
      <c r="A25" t="s">
        <v>176</v>
      </c>
    </row>
    <row r="26" ht="13.5" thickBot="1"/>
    <row r="27" spans="1:3" ht="12.75">
      <c r="A27" s="20" t="s">
        <v>158</v>
      </c>
      <c r="B27" s="20" t="s">
        <v>177</v>
      </c>
      <c r="C27" s="20" t="s">
        <v>161</v>
      </c>
    </row>
    <row r="28" spans="1:3" ht="12.75">
      <c r="A28" s="18">
        <v>1</v>
      </c>
      <c r="B28" s="18">
        <v>12652.974348575553</v>
      </c>
      <c r="C28" s="18">
        <v>189.02565142444655</v>
      </c>
    </row>
    <row r="29" spans="1:3" ht="12.75">
      <c r="A29" s="18">
        <v>2</v>
      </c>
      <c r="B29" s="18">
        <v>14523.393430381166</v>
      </c>
      <c r="C29" s="18">
        <v>208.60656961883433</v>
      </c>
    </row>
    <row r="30" spans="1:3" ht="12.75">
      <c r="A30" s="18">
        <v>3</v>
      </c>
      <c r="B30" s="18">
        <v>15659.745532894569</v>
      </c>
      <c r="C30" s="18">
        <v>-93.7455328945689</v>
      </c>
    </row>
    <row r="31" spans="1:3" ht="12.75">
      <c r="A31" s="18">
        <v>4</v>
      </c>
      <c r="B31" s="18">
        <v>17261.028855168</v>
      </c>
      <c r="C31" s="18">
        <v>-806.0288551679987</v>
      </c>
    </row>
    <row r="32" spans="1:3" ht="12.75">
      <c r="A32" s="18">
        <v>5</v>
      </c>
      <c r="B32" s="18">
        <v>17896.896292414993</v>
      </c>
      <c r="C32" s="18">
        <v>-106.89629241499279</v>
      </c>
    </row>
    <row r="33" spans="1:3" ht="12.75">
      <c r="A33" s="18">
        <v>6</v>
      </c>
      <c r="B33" s="18">
        <v>18727.28151938069</v>
      </c>
      <c r="C33" s="18">
        <v>340.71848061931087</v>
      </c>
    </row>
    <row r="34" spans="1:3" ht="13.5" thickBot="1">
      <c r="A34" s="19">
        <v>7</v>
      </c>
      <c r="B34" s="19">
        <v>20467.68002118503</v>
      </c>
      <c r="C34" s="19">
        <v>268.31997881496864</v>
      </c>
    </row>
  </sheetData>
  <hyperlinks>
    <hyperlink ref="I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11.75390625" style="0" customWidth="1"/>
    <col min="10" max="10" width="1.00390625" style="0" customWidth="1"/>
  </cols>
  <sheetData>
    <row r="1" spans="1:9" s="593" customFormat="1" ht="21" customHeight="1">
      <c r="A1" s="592" t="s">
        <v>615</v>
      </c>
      <c r="I1" s="1248" t="s">
        <v>785</v>
      </c>
    </row>
    <row r="2" s="593" customFormat="1" ht="21" customHeight="1">
      <c r="A2" s="594" t="s">
        <v>616</v>
      </c>
    </row>
    <row r="4" ht="12.75">
      <c r="A4" t="s">
        <v>152</v>
      </c>
    </row>
    <row r="5" ht="13.5" thickBot="1"/>
    <row r="6" spans="1:2" ht="12.75">
      <c r="A6" s="21" t="s">
        <v>153</v>
      </c>
      <c r="B6" s="21"/>
    </row>
    <row r="7" spans="1:2" ht="12.75">
      <c r="A7" s="589" t="s">
        <v>154</v>
      </c>
      <c r="B7" s="589">
        <v>0.9954391900249323</v>
      </c>
    </row>
    <row r="8" spans="1:2" ht="12.75">
      <c r="A8" s="18" t="s">
        <v>155</v>
      </c>
      <c r="B8" s="18">
        <v>0.9908991810374933</v>
      </c>
    </row>
    <row r="9" spans="1:2" ht="12.75">
      <c r="A9" s="18" t="s">
        <v>156</v>
      </c>
      <c r="B9" s="18">
        <v>0.98634877155624</v>
      </c>
    </row>
    <row r="10" spans="1:2" ht="12.75">
      <c r="A10" s="18" t="s">
        <v>157</v>
      </c>
      <c r="B10" s="18">
        <v>313.42362792721065</v>
      </c>
    </row>
    <row r="11" spans="1:2" ht="13.5" thickBot="1">
      <c r="A11" s="19" t="s">
        <v>158</v>
      </c>
      <c r="B11" s="19">
        <v>7</v>
      </c>
    </row>
    <row r="13" ht="13.5" thickBot="1">
      <c r="A13" t="s">
        <v>159</v>
      </c>
    </row>
    <row r="14" spans="1:6" ht="12.75">
      <c r="A14" s="20"/>
      <c r="B14" s="20" t="s">
        <v>164</v>
      </c>
      <c r="C14" s="20" t="s">
        <v>165</v>
      </c>
      <c r="D14" s="20" t="s">
        <v>166</v>
      </c>
      <c r="E14" s="20" t="s">
        <v>167</v>
      </c>
      <c r="F14" s="20" t="s">
        <v>168</v>
      </c>
    </row>
    <row r="15" spans="1:6" ht="12.75">
      <c r="A15" s="18" t="s">
        <v>160</v>
      </c>
      <c r="B15" s="18">
        <v>2</v>
      </c>
      <c r="C15" s="18">
        <v>42783119.94639921</v>
      </c>
      <c r="D15" s="18">
        <v>21391559.973199606</v>
      </c>
      <c r="E15" s="18">
        <v>217.7604422458636</v>
      </c>
      <c r="F15" s="18">
        <v>8.282490578893032E-05</v>
      </c>
    </row>
    <row r="16" spans="1:6" ht="12.75">
      <c r="A16" s="18" t="s">
        <v>161</v>
      </c>
      <c r="B16" s="18">
        <v>4</v>
      </c>
      <c r="C16" s="18">
        <v>392937.4821722184</v>
      </c>
      <c r="D16" s="18">
        <v>98234.3705430546</v>
      </c>
      <c r="E16" s="18"/>
      <c r="F16" s="18"/>
    </row>
    <row r="17" spans="1:6" ht="13.5" thickBot="1">
      <c r="A17" s="19" t="s">
        <v>162</v>
      </c>
      <c r="B17" s="19">
        <v>6</v>
      </c>
      <c r="C17" s="19">
        <v>43176057.42857143</v>
      </c>
      <c r="D17" s="19"/>
      <c r="E17" s="19"/>
      <c r="F17" s="19"/>
    </row>
    <row r="18" ht="13.5" thickBot="1"/>
    <row r="19" spans="1:9" ht="12.75">
      <c r="A19" s="590"/>
      <c r="B19" s="590" t="s">
        <v>169</v>
      </c>
      <c r="C19" s="20" t="s">
        <v>157</v>
      </c>
      <c r="D19" s="20" t="s">
        <v>170</v>
      </c>
      <c r="E19" s="20" t="s">
        <v>171</v>
      </c>
      <c r="F19" s="20" t="s">
        <v>172</v>
      </c>
      <c r="G19" s="20" t="s">
        <v>173</v>
      </c>
      <c r="H19" s="20" t="s">
        <v>174</v>
      </c>
      <c r="I19" s="20" t="s">
        <v>175</v>
      </c>
    </row>
    <row r="20" spans="1:9" ht="12.75">
      <c r="A20" s="589" t="s">
        <v>163</v>
      </c>
      <c r="B20" s="589">
        <v>-6262.475931728571</v>
      </c>
      <c r="C20" s="18">
        <v>2305.8764315726903</v>
      </c>
      <c r="D20" s="18">
        <v>-2.7158766384794255</v>
      </c>
      <c r="E20" s="18">
        <v>0.0532130272688938</v>
      </c>
      <c r="F20" s="18">
        <v>-12664.628523745812</v>
      </c>
      <c r="G20" s="18">
        <v>139.67666028867097</v>
      </c>
      <c r="H20" s="18">
        <v>-12664.628523745812</v>
      </c>
      <c r="I20" s="18">
        <v>139.67666028867097</v>
      </c>
    </row>
    <row r="21" spans="1:9" ht="12.75">
      <c r="A21" s="589" t="s">
        <v>146</v>
      </c>
      <c r="B21" s="589">
        <v>0.008316252916200818</v>
      </c>
      <c r="C21" s="18">
        <v>0.0008856732872935432</v>
      </c>
      <c r="D21" s="18">
        <v>9.389752446541294</v>
      </c>
      <c r="E21" s="18">
        <v>0.0007167858940254022</v>
      </c>
      <c r="F21" s="18">
        <v>0.005857224559655494</v>
      </c>
      <c r="G21" s="18">
        <v>0.010775281272746143</v>
      </c>
      <c r="H21" s="18">
        <v>0.005857224559655494</v>
      </c>
      <c r="I21" s="18">
        <v>0.010775281272746143</v>
      </c>
    </row>
    <row r="22" spans="1:9" ht="13.5" thickBot="1">
      <c r="A22" s="591" t="s">
        <v>147</v>
      </c>
      <c r="B22" s="591">
        <v>0.014613179144761176</v>
      </c>
      <c r="C22" s="19">
        <v>0.006208124236740539</v>
      </c>
      <c r="D22" s="19">
        <v>2.3538799462611197</v>
      </c>
      <c r="E22" s="19">
        <v>0.07818335941964986</v>
      </c>
      <c r="F22" s="19">
        <v>-0.002623372705810343</v>
      </c>
      <c r="G22" s="19">
        <v>0.0318497309953327</v>
      </c>
      <c r="H22" s="19">
        <v>-0.002623372705810343</v>
      </c>
      <c r="I22" s="19">
        <v>0.0318497309953327</v>
      </c>
    </row>
    <row r="26" ht="12.75">
      <c r="A26" t="s">
        <v>176</v>
      </c>
    </row>
    <row r="27" ht="13.5" thickBot="1"/>
    <row r="28" spans="1:3" ht="12.75">
      <c r="A28" s="20" t="s">
        <v>158</v>
      </c>
      <c r="B28" s="20" t="s">
        <v>177</v>
      </c>
      <c r="C28" s="20" t="s">
        <v>161</v>
      </c>
    </row>
    <row r="29" spans="1:3" ht="12.75">
      <c r="A29" s="18">
        <v>1</v>
      </c>
      <c r="B29" s="18">
        <v>12536.57300389062</v>
      </c>
      <c r="C29" s="18">
        <v>305.4269961093796</v>
      </c>
    </row>
    <row r="30" spans="1:3" ht="12.75">
      <c r="A30" s="18">
        <v>2</v>
      </c>
      <c r="B30" s="18">
        <v>14916.506592280399</v>
      </c>
      <c r="C30" s="18">
        <v>-184.50659228039876</v>
      </c>
    </row>
    <row r="31" spans="1:3" ht="12.75">
      <c r="A31" s="18">
        <v>3</v>
      </c>
      <c r="B31" s="18">
        <v>15790.677528938395</v>
      </c>
      <c r="C31" s="18">
        <v>-224.67752893839497</v>
      </c>
    </row>
    <row r="32" spans="1:3" ht="12.75">
      <c r="A32" s="18">
        <v>4</v>
      </c>
      <c r="B32" s="18">
        <v>16797.03998490199</v>
      </c>
      <c r="C32" s="18">
        <v>-342.03998490198865</v>
      </c>
    </row>
    <row r="33" spans="1:3" ht="12.75">
      <c r="A33" s="18">
        <v>5</v>
      </c>
      <c r="B33" s="18">
        <v>17624.95697425899</v>
      </c>
      <c r="C33" s="18">
        <v>165.04302574101166</v>
      </c>
    </row>
    <row r="34" spans="1:3" ht="12.75">
      <c r="A34" s="18">
        <v>6</v>
      </c>
      <c r="B34" s="18">
        <v>18802.149498359864</v>
      </c>
      <c r="C34" s="18">
        <v>265.8505016401359</v>
      </c>
    </row>
    <row r="35" spans="1:3" ht="13.5" thickBot="1">
      <c r="A35" s="19">
        <v>7</v>
      </c>
      <c r="B35" s="19">
        <v>20721.096417369743</v>
      </c>
      <c r="C35" s="19">
        <v>14.903582630257006</v>
      </c>
    </row>
  </sheetData>
  <hyperlinks>
    <hyperlink ref="I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11.75390625" style="0" customWidth="1"/>
    <col min="10" max="10" width="1.12109375" style="0" customWidth="1"/>
  </cols>
  <sheetData>
    <row r="1" spans="1:9" s="593" customFormat="1" ht="21" customHeight="1">
      <c r="A1" s="592" t="s">
        <v>615</v>
      </c>
      <c r="I1" s="1248" t="s">
        <v>785</v>
      </c>
    </row>
    <row r="2" s="593" customFormat="1" ht="21" customHeight="1">
      <c r="A2" s="594" t="s">
        <v>617</v>
      </c>
    </row>
    <row r="4" ht="12.75">
      <c r="A4" t="s">
        <v>152</v>
      </c>
    </row>
    <row r="5" ht="13.5" thickBot="1"/>
    <row r="6" spans="1:2" ht="12.75">
      <c r="A6" s="21" t="s">
        <v>153</v>
      </c>
      <c r="B6" s="21"/>
    </row>
    <row r="7" spans="1:2" ht="12.75">
      <c r="A7" s="589" t="s">
        <v>154</v>
      </c>
      <c r="B7" s="589">
        <v>0.9929526241381722</v>
      </c>
    </row>
    <row r="8" spans="1:2" ht="12.75">
      <c r="A8" s="18" t="s">
        <v>155</v>
      </c>
      <c r="B8" s="18">
        <v>0.9859549137828822</v>
      </c>
    </row>
    <row r="9" spans="1:2" ht="12.75">
      <c r="A9" s="18" t="s">
        <v>156</v>
      </c>
      <c r="B9" s="18">
        <v>0.9789323706743234</v>
      </c>
    </row>
    <row r="10" spans="1:2" ht="12.75">
      <c r="A10" s="18" t="s">
        <v>157</v>
      </c>
      <c r="B10" s="18">
        <v>389.3621222909048</v>
      </c>
    </row>
    <row r="11" spans="1:2" ht="13.5" thickBot="1">
      <c r="A11" s="19" t="s">
        <v>158</v>
      </c>
      <c r="B11" s="19">
        <v>7</v>
      </c>
    </row>
    <row r="13" ht="13.5" thickBot="1">
      <c r="A13" t="s">
        <v>159</v>
      </c>
    </row>
    <row r="14" spans="1:6" ht="12.75">
      <c r="A14" s="20"/>
      <c r="B14" s="20" t="s">
        <v>164</v>
      </c>
      <c r="C14" s="20" t="s">
        <v>165</v>
      </c>
      <c r="D14" s="20" t="s">
        <v>166</v>
      </c>
      <c r="E14" s="20" t="s">
        <v>167</v>
      </c>
      <c r="F14" s="20" t="s">
        <v>168</v>
      </c>
    </row>
    <row r="15" spans="1:6" ht="12.75">
      <c r="A15" s="18" t="s">
        <v>160</v>
      </c>
      <c r="B15" s="18">
        <v>2</v>
      </c>
      <c r="C15" s="18">
        <v>42569645.97947192</v>
      </c>
      <c r="D15" s="18">
        <v>21284822.98973596</v>
      </c>
      <c r="E15" s="18">
        <v>140.39855626962742</v>
      </c>
      <c r="F15" s="18">
        <v>0.00019726444684772197</v>
      </c>
    </row>
    <row r="16" spans="1:6" ht="12.75">
      <c r="A16" s="18" t="s">
        <v>161</v>
      </c>
      <c r="B16" s="18">
        <v>4</v>
      </c>
      <c r="C16" s="18">
        <v>606411.4490995099</v>
      </c>
      <c r="D16" s="18">
        <v>151602.86227487747</v>
      </c>
      <c r="E16" s="18"/>
      <c r="F16" s="18"/>
    </row>
    <row r="17" spans="1:6" ht="13.5" thickBot="1">
      <c r="A17" s="19" t="s">
        <v>162</v>
      </c>
      <c r="B17" s="19">
        <v>6</v>
      </c>
      <c r="C17" s="19">
        <v>43176057.42857143</v>
      </c>
      <c r="D17" s="19"/>
      <c r="E17" s="19"/>
      <c r="F17" s="19"/>
    </row>
    <row r="18" ht="13.5" thickBot="1"/>
    <row r="19" spans="1:9" ht="12.75">
      <c r="A19" s="590"/>
      <c r="B19" s="590" t="s">
        <v>169</v>
      </c>
      <c r="C19" s="20" t="s">
        <v>157</v>
      </c>
      <c r="D19" s="20" t="s">
        <v>170</v>
      </c>
      <c r="E19" s="20" t="s">
        <v>171</v>
      </c>
      <c r="F19" s="20" t="s">
        <v>172</v>
      </c>
      <c r="G19" s="20" t="s">
        <v>173</v>
      </c>
      <c r="H19" s="20" t="s">
        <v>174</v>
      </c>
      <c r="I19" s="20" t="s">
        <v>175</v>
      </c>
    </row>
    <row r="20" spans="1:9" ht="12.75">
      <c r="A20" s="589" t="s">
        <v>163</v>
      </c>
      <c r="B20" s="589">
        <v>10170.780371048595</v>
      </c>
      <c r="C20" s="18">
        <v>7801.342925967422</v>
      </c>
      <c r="D20" s="18">
        <v>1.3037217396500163</v>
      </c>
      <c r="E20" s="18">
        <v>0.2622974702702764</v>
      </c>
      <c r="F20" s="18">
        <v>-11489.264872847305</v>
      </c>
      <c r="G20" s="18">
        <v>31830.825614944493</v>
      </c>
      <c r="H20" s="18">
        <v>-11489.264872847305</v>
      </c>
      <c r="I20" s="18">
        <v>31830.825614944493</v>
      </c>
    </row>
    <row r="21" spans="1:9" ht="12.75">
      <c r="A21" s="589" t="s">
        <v>146</v>
      </c>
      <c r="B21" s="589">
        <v>0.009324997598840451</v>
      </c>
      <c r="C21" s="18">
        <v>0.0007817310802850337</v>
      </c>
      <c r="D21" s="18">
        <v>11.928651468533634</v>
      </c>
      <c r="E21" s="18">
        <v>0.0002829485849700732</v>
      </c>
      <c r="F21" s="18">
        <v>0.007154559671907029</v>
      </c>
      <c r="G21" s="18">
        <v>0.011495435525773874</v>
      </c>
      <c r="H21" s="18">
        <v>0.007154559671907029</v>
      </c>
      <c r="I21" s="18">
        <v>0.011495435525773874</v>
      </c>
    </row>
    <row r="22" spans="1:9" ht="13.5" thickBot="1">
      <c r="A22" s="591" t="s">
        <v>148</v>
      </c>
      <c r="B22" s="591">
        <v>-94.51811454142808</v>
      </c>
      <c r="C22" s="19">
        <v>63.984392770932054</v>
      </c>
      <c r="D22" s="19">
        <v>-1.4772057754741623</v>
      </c>
      <c r="E22" s="19">
        <v>0.21367911336356915</v>
      </c>
      <c r="F22" s="19">
        <v>-272.1676366139028</v>
      </c>
      <c r="G22" s="19">
        <v>83.13140753104665</v>
      </c>
      <c r="H22" s="19">
        <v>-272.1676366139028</v>
      </c>
      <c r="I22" s="19">
        <v>83.13140753104665</v>
      </c>
    </row>
    <row r="26" ht="12.75">
      <c r="A26" t="s">
        <v>176</v>
      </c>
    </row>
    <row r="27" ht="13.5" thickBot="1"/>
    <row r="28" spans="1:3" ht="12.75">
      <c r="A28" s="20" t="s">
        <v>158</v>
      </c>
      <c r="B28" s="20" t="s">
        <v>177</v>
      </c>
      <c r="C28" s="20" t="s">
        <v>161</v>
      </c>
    </row>
    <row r="29" spans="1:3" ht="12.75">
      <c r="A29" s="18">
        <v>1</v>
      </c>
      <c r="B29" s="18">
        <v>12737.132683459797</v>
      </c>
      <c r="C29" s="18">
        <v>104.86731654020332</v>
      </c>
    </row>
    <row r="30" spans="1:3" ht="12.75">
      <c r="A30" s="18">
        <v>2</v>
      </c>
      <c r="B30" s="18">
        <v>14499.182346401043</v>
      </c>
      <c r="C30" s="18">
        <v>232.8176535989569</v>
      </c>
    </row>
    <row r="31" spans="1:3" ht="12.75">
      <c r="A31" s="18">
        <v>3</v>
      </c>
      <c r="B31" s="18">
        <v>15580.824234545298</v>
      </c>
      <c r="C31" s="18">
        <v>-14.824234545298168</v>
      </c>
    </row>
    <row r="32" spans="1:3" ht="12.75">
      <c r="A32" s="18">
        <v>4</v>
      </c>
      <c r="B32" s="18">
        <v>16857.116275368793</v>
      </c>
      <c r="C32" s="18">
        <v>-402.11627536879314</v>
      </c>
    </row>
    <row r="33" spans="1:3" ht="12.75">
      <c r="A33" s="18">
        <v>5</v>
      </c>
      <c r="B33" s="18">
        <v>18259.35853365979</v>
      </c>
      <c r="C33" s="18">
        <v>-469.3585336597898</v>
      </c>
    </row>
    <row r="34" spans="1:3" ht="12.75">
      <c r="A34" s="18">
        <v>6</v>
      </c>
      <c r="B34" s="18">
        <v>18858.91122929351</v>
      </c>
      <c r="C34" s="18">
        <v>209.08877070649032</v>
      </c>
    </row>
    <row r="35" spans="1:3" ht="13.5" thickBot="1">
      <c r="A35" s="19">
        <v>7</v>
      </c>
      <c r="B35" s="19">
        <v>20396.474697271766</v>
      </c>
      <c r="C35" s="19">
        <v>339.52530272823424</v>
      </c>
    </row>
  </sheetData>
  <hyperlinks>
    <hyperlink ref="I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11.75390625" style="0" customWidth="1"/>
    <col min="10" max="10" width="1.00390625" style="0" customWidth="1"/>
  </cols>
  <sheetData>
    <row r="1" spans="1:9" s="593" customFormat="1" ht="21" customHeight="1">
      <c r="A1" s="592" t="s">
        <v>615</v>
      </c>
      <c r="I1" s="1248" t="s">
        <v>785</v>
      </c>
    </row>
    <row r="2" s="593" customFormat="1" ht="21" customHeight="1">
      <c r="A2" s="594" t="s">
        <v>618</v>
      </c>
    </row>
    <row r="4" ht="12.75">
      <c r="A4" t="s">
        <v>152</v>
      </c>
    </row>
    <row r="5" ht="13.5" thickBot="1"/>
    <row r="6" spans="1:2" ht="12.75">
      <c r="A6" s="21" t="s">
        <v>153</v>
      </c>
      <c r="B6" s="21"/>
    </row>
    <row r="7" spans="1:2" ht="12.75">
      <c r="A7" s="589" t="s">
        <v>154</v>
      </c>
      <c r="B7" s="589">
        <v>0.9982289564664232</v>
      </c>
    </row>
    <row r="8" spans="1:2" ht="12.75">
      <c r="A8" s="18" t="s">
        <v>155</v>
      </c>
      <c r="B8" s="18">
        <v>0.9964610495280443</v>
      </c>
    </row>
    <row r="9" spans="1:2" ht="12.75">
      <c r="A9" s="18" t="s">
        <v>156</v>
      </c>
      <c r="B9" s="18">
        <v>0.9929220990560884</v>
      </c>
    </row>
    <row r="10" spans="1:2" ht="12.75">
      <c r="A10" s="18" t="s">
        <v>157</v>
      </c>
      <c r="B10" s="18">
        <v>225.68261549798402</v>
      </c>
    </row>
    <row r="11" spans="1:2" ht="13.5" thickBot="1">
      <c r="A11" s="19" t="s">
        <v>158</v>
      </c>
      <c r="B11" s="19">
        <v>7</v>
      </c>
    </row>
    <row r="13" ht="13.5" thickBot="1">
      <c r="A13" t="s">
        <v>159</v>
      </c>
    </row>
    <row r="14" spans="1:6" ht="12.75">
      <c r="A14" s="20"/>
      <c r="B14" s="20" t="s">
        <v>164</v>
      </c>
      <c r="C14" s="20" t="s">
        <v>165</v>
      </c>
      <c r="D14" s="20" t="s">
        <v>166</v>
      </c>
      <c r="E14" s="20" t="s">
        <v>167</v>
      </c>
      <c r="F14" s="20" t="s">
        <v>168</v>
      </c>
    </row>
    <row r="15" spans="1:6" ht="12.75">
      <c r="A15" s="18" t="s">
        <v>160</v>
      </c>
      <c r="B15" s="18">
        <v>3</v>
      </c>
      <c r="C15" s="18">
        <v>43023259.4997574</v>
      </c>
      <c r="D15" s="18">
        <v>14341086.499919133</v>
      </c>
      <c r="E15" s="18">
        <v>281.5696510658869</v>
      </c>
      <c r="F15" s="18">
        <v>0.0003570252740835831</v>
      </c>
    </row>
    <row r="16" spans="1:6" ht="12.75">
      <c r="A16" s="18" t="s">
        <v>161</v>
      </c>
      <c r="B16" s="18">
        <v>3</v>
      </c>
      <c r="C16" s="18">
        <v>152797.92881403267</v>
      </c>
      <c r="D16" s="18">
        <v>50932.64293801089</v>
      </c>
      <c r="E16" s="18"/>
      <c r="F16" s="18"/>
    </row>
    <row r="17" spans="1:6" ht="13.5" thickBot="1">
      <c r="A17" s="19" t="s">
        <v>162</v>
      </c>
      <c r="B17" s="19">
        <v>6</v>
      </c>
      <c r="C17" s="19">
        <v>43176057.42857143</v>
      </c>
      <c r="D17" s="19"/>
      <c r="E17" s="19"/>
      <c r="F17" s="19"/>
    </row>
    <row r="18" ht="13.5" thickBot="1"/>
    <row r="19" spans="1:9" ht="12.75">
      <c r="A19" s="590"/>
      <c r="B19" s="590" t="s">
        <v>169</v>
      </c>
      <c r="C19" s="20" t="s">
        <v>157</v>
      </c>
      <c r="D19" s="20" t="s">
        <v>170</v>
      </c>
      <c r="E19" s="20" t="s">
        <v>171</v>
      </c>
      <c r="F19" s="20" t="s">
        <v>172</v>
      </c>
      <c r="G19" s="20" t="s">
        <v>173</v>
      </c>
      <c r="H19" s="20" t="s">
        <v>174</v>
      </c>
      <c r="I19" s="20" t="s">
        <v>175</v>
      </c>
    </row>
    <row r="20" spans="1:9" ht="12.75">
      <c r="A20" s="589" t="s">
        <v>163</v>
      </c>
      <c r="B20" s="589">
        <v>3935.1114262264546</v>
      </c>
      <c r="C20" s="18">
        <v>4981.24774622329</v>
      </c>
      <c r="D20" s="18">
        <v>0.7899850854055591</v>
      </c>
      <c r="E20" s="18">
        <v>0.48722173594053353</v>
      </c>
      <c r="F20" s="18">
        <v>-11917.456930850292</v>
      </c>
      <c r="G20" s="18">
        <v>19787.679783303203</v>
      </c>
      <c r="H20" s="18">
        <v>-11917.456930850292</v>
      </c>
      <c r="I20" s="18">
        <v>19787.679783303203</v>
      </c>
    </row>
    <row r="21" spans="1:9" ht="12.75">
      <c r="A21" s="589" t="s">
        <v>146</v>
      </c>
      <c r="B21" s="589">
        <v>0.007825391708333513</v>
      </c>
      <c r="C21" s="18">
        <v>0.0006766156388042088</v>
      </c>
      <c r="D21" s="18">
        <v>11.56549044914691</v>
      </c>
      <c r="E21" s="18">
        <v>0.0013880717139544377</v>
      </c>
      <c r="F21" s="18">
        <v>0.005672096748502767</v>
      </c>
      <c r="G21" s="18">
        <v>0.009978686668164257</v>
      </c>
      <c r="H21" s="18">
        <v>0.005672096748502767</v>
      </c>
      <c r="I21" s="18">
        <v>0.009978686668164257</v>
      </c>
    </row>
    <row r="22" spans="1:9" ht="12.75">
      <c r="A22" s="589" t="s">
        <v>147</v>
      </c>
      <c r="B22" s="589">
        <v>0.013437919169971434</v>
      </c>
      <c r="C22" s="18">
        <v>0.0045028464294863055</v>
      </c>
      <c r="D22" s="18">
        <v>2.984316560736996</v>
      </c>
      <c r="E22" s="18">
        <v>0.05839513176478428</v>
      </c>
      <c r="F22" s="18">
        <v>-0.0008921612559562205</v>
      </c>
      <c r="G22" s="18">
        <v>0.02776799959589909</v>
      </c>
      <c r="H22" s="18">
        <v>-0.0008921612559562205</v>
      </c>
      <c r="I22" s="18">
        <v>0.02776799959589909</v>
      </c>
    </row>
    <row r="23" spans="1:9" ht="13.5" thickBot="1">
      <c r="A23" s="591" t="s">
        <v>148</v>
      </c>
      <c r="B23" s="591">
        <v>-81.11712778294039</v>
      </c>
      <c r="C23" s="19">
        <v>37.35758744558073</v>
      </c>
      <c r="D23" s="19">
        <v>-2.171369548451295</v>
      </c>
      <c r="E23" s="19">
        <v>0.1183037384016646</v>
      </c>
      <c r="F23" s="19">
        <v>-200.00575545369787</v>
      </c>
      <c r="G23" s="19">
        <v>37.771499887817086</v>
      </c>
      <c r="H23" s="19">
        <v>-200.00575545369787</v>
      </c>
      <c r="I23" s="19">
        <v>37.771499887817086</v>
      </c>
    </row>
    <row r="27" ht="12.75">
      <c r="A27" t="s">
        <v>176</v>
      </c>
    </row>
    <row r="28" ht="13.5" thickBot="1"/>
    <row r="29" spans="1:3" ht="12.75">
      <c r="A29" s="20" t="s">
        <v>158</v>
      </c>
      <c r="B29" s="20" t="s">
        <v>177</v>
      </c>
      <c r="C29" s="20" t="s">
        <v>161</v>
      </c>
    </row>
    <row r="30" spans="1:3" ht="12.75">
      <c r="A30" s="18">
        <v>1</v>
      </c>
      <c r="B30" s="18">
        <v>12618.16072308065</v>
      </c>
      <c r="C30" s="18">
        <v>223.8392769193506</v>
      </c>
    </row>
    <row r="31" spans="1:3" ht="12.75">
      <c r="A31" s="18">
        <v>2</v>
      </c>
      <c r="B31" s="18">
        <v>14864.112216518251</v>
      </c>
      <c r="C31" s="18">
        <v>-132.11221651825144</v>
      </c>
    </row>
    <row r="32" spans="1:3" ht="12.75">
      <c r="A32" s="18">
        <v>3</v>
      </c>
      <c r="B32" s="18">
        <v>15712.415704986457</v>
      </c>
      <c r="C32" s="18">
        <v>-146.41570498645706</v>
      </c>
    </row>
    <row r="33" spans="1:3" ht="12.75">
      <c r="A33" s="18">
        <v>4</v>
      </c>
      <c r="B33" s="18">
        <v>16487.71116904755</v>
      </c>
      <c r="C33" s="18">
        <v>-32.71116904755036</v>
      </c>
    </row>
    <row r="34" spans="1:3" ht="12.75">
      <c r="A34" s="18">
        <v>5</v>
      </c>
      <c r="B34" s="18">
        <v>17957.89914685608</v>
      </c>
      <c r="C34" s="18">
        <v>-167.89914685608164</v>
      </c>
    </row>
    <row r="35" spans="1:3" ht="12.75">
      <c r="A35" s="18">
        <v>6</v>
      </c>
      <c r="B35" s="18">
        <v>18909.09522585696</v>
      </c>
      <c r="C35" s="18">
        <v>158.9047741430404</v>
      </c>
    </row>
    <row r="36" spans="1:3" ht="13.5" thickBot="1">
      <c r="A36" s="19">
        <v>7</v>
      </c>
      <c r="B36" s="19">
        <v>20639.605813654045</v>
      </c>
      <c r="C36" s="19">
        <v>96.39418634595495</v>
      </c>
    </row>
  </sheetData>
  <hyperlinks>
    <hyperlink ref="I1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showGridLines="0" workbookViewId="0" topLeftCell="A1">
      <pane xSplit="1" topLeftCell="B1" activePane="topRight" state="frozen"/>
      <selection pane="topLeft" activeCell="A1" sqref="A1:D1"/>
      <selection pane="topRight" activeCell="A1" sqref="A1"/>
    </sheetView>
  </sheetViews>
  <sheetFormatPr defaultColWidth="9.00390625" defaultRowHeight="12.75"/>
  <cols>
    <col min="1" max="1" width="7.25390625" style="0" customWidth="1"/>
    <col min="3" max="3" width="6.25390625" style="0" customWidth="1"/>
    <col min="4" max="4" width="10.375" style="0" customWidth="1"/>
    <col min="5" max="5" width="7.125" style="0" customWidth="1"/>
    <col min="6" max="6" width="7.625" style="0" customWidth="1"/>
    <col min="7" max="7" width="2.625" style="0" customWidth="1"/>
    <col min="8" max="8" width="11.00390625" style="0" customWidth="1"/>
    <col min="9" max="9" width="6.875" style="0" bestFit="1" customWidth="1"/>
    <col min="11" max="11" width="6.375" style="0" bestFit="1" customWidth="1"/>
    <col min="17" max="17" width="6.875" style="0" bestFit="1" customWidth="1"/>
  </cols>
  <sheetData>
    <row r="1" spans="1:18" ht="21" customHeight="1">
      <c r="A1" s="592" t="s">
        <v>625</v>
      </c>
      <c r="I1" s="31"/>
      <c r="R1" s="1248" t="s">
        <v>785</v>
      </c>
    </row>
    <row r="2" spans="1:9" ht="11.25" customHeight="1" thickBot="1">
      <c r="A2" s="592"/>
      <c r="I2" s="31"/>
    </row>
    <row r="3" spans="1:18" ht="21" customHeight="1" thickBot="1">
      <c r="A3" s="1259" t="s">
        <v>609</v>
      </c>
      <c r="B3" s="1260"/>
      <c r="C3" s="1260"/>
      <c r="D3" s="1260"/>
      <c r="E3" s="1260"/>
      <c r="F3" s="1261"/>
      <c r="G3" s="593"/>
      <c r="H3" s="1259" t="s">
        <v>196</v>
      </c>
      <c r="I3" s="1261"/>
      <c r="J3" s="1259" t="s">
        <v>181</v>
      </c>
      <c r="K3" s="1260"/>
      <c r="L3" s="1260"/>
      <c r="M3" s="1260"/>
      <c r="N3" s="1260"/>
      <c r="O3" s="1260"/>
      <c r="P3" s="1260"/>
      <c r="Q3" s="1260"/>
      <c r="R3" s="1261"/>
    </row>
    <row r="4" spans="1:18" ht="26.25" thickBot="1">
      <c r="A4" s="630" t="s">
        <v>145</v>
      </c>
      <c r="B4" s="631" t="s">
        <v>146</v>
      </c>
      <c r="C4" s="632" t="s">
        <v>195</v>
      </c>
      <c r="D4" s="631" t="s">
        <v>147</v>
      </c>
      <c r="E4" s="632" t="s">
        <v>195</v>
      </c>
      <c r="F4" s="633" t="s">
        <v>148</v>
      </c>
      <c r="G4" s="14"/>
      <c r="H4" s="634" t="s">
        <v>144</v>
      </c>
      <c r="I4" s="635" t="s">
        <v>195</v>
      </c>
      <c r="J4" s="634" t="s">
        <v>184</v>
      </c>
      <c r="K4" s="632" t="s">
        <v>195</v>
      </c>
      <c r="L4" s="636" t="s">
        <v>185</v>
      </c>
      <c r="M4" s="636" t="s">
        <v>186</v>
      </c>
      <c r="N4" s="636" t="s">
        <v>187</v>
      </c>
      <c r="O4" s="637" t="s">
        <v>182</v>
      </c>
      <c r="P4" s="631" t="s">
        <v>194</v>
      </c>
      <c r="Q4" s="632" t="s">
        <v>195</v>
      </c>
      <c r="R4" s="633" t="s">
        <v>183</v>
      </c>
    </row>
    <row r="5" spans="1:18" ht="12.75">
      <c r="A5" s="638">
        <v>1995</v>
      </c>
      <c r="B5" s="85">
        <v>1381049</v>
      </c>
      <c r="C5" s="599"/>
      <c r="D5" s="85">
        <v>500500</v>
      </c>
      <c r="E5" s="599"/>
      <c r="F5" s="595">
        <v>109.1</v>
      </c>
      <c r="G5" s="15"/>
      <c r="H5" s="604">
        <v>12842</v>
      </c>
      <c r="I5" s="270"/>
      <c r="J5" s="615">
        <f>11802+1234.9*(A5-$A$5+1)</f>
        <v>13036.9</v>
      </c>
      <c r="K5" s="608"/>
      <c r="L5" s="618">
        <f>12088+1044.3*(A5-$A$5+1)+23.833*(A5-$A$5+1)^2</f>
        <v>13156.133</v>
      </c>
      <c r="M5" s="618">
        <f>-1240.9+0.01006*B5</f>
        <v>12652.45294</v>
      </c>
      <c r="N5" s="618">
        <f>9556.4-0.0024*B5+0.000000004*B5^2</f>
        <v>13871.067761604001</v>
      </c>
      <c r="O5" s="619">
        <f aca="true" t="shared" si="0" ref="O5:O15">-6262.48+0.008316*B5+0.0146613*D5</f>
        <v>12560.304134000002</v>
      </c>
      <c r="P5" s="620">
        <f aca="true" t="shared" si="1" ref="P5:P15">10170.78+0.009325*B5-94.5181*F5</f>
        <v>12737.137215000002</v>
      </c>
      <c r="Q5" s="608"/>
      <c r="R5" s="627">
        <f aca="true" t="shared" si="2" ref="R5:R15">3935.111+0.007825*B5+0.013438*D5-81.1171*F5</f>
        <v>12617.662815000003</v>
      </c>
    </row>
    <row r="6" spans="1:18" ht="12.75">
      <c r="A6" s="638">
        <v>1996</v>
      </c>
      <c r="B6" s="85">
        <v>1566968</v>
      </c>
      <c r="C6" s="600">
        <f>B6/B5-1</f>
        <v>0.13462158113144418</v>
      </c>
      <c r="D6" s="85">
        <v>557557</v>
      </c>
      <c r="E6" s="600">
        <f>D6/D5-1</f>
        <v>0.1140000000000001</v>
      </c>
      <c r="F6" s="595">
        <v>108.8</v>
      </c>
      <c r="G6" s="15"/>
      <c r="H6" s="603">
        <v>14732</v>
      </c>
      <c r="I6" s="605">
        <f aca="true" t="shared" si="3" ref="I6:I11">H6/H5-1</f>
        <v>0.14717333748637285</v>
      </c>
      <c r="J6" s="616">
        <f aca="true" t="shared" si="4" ref="J6:J15">11802+1234.9*(A6-$A$5+1)</f>
        <v>14271.8</v>
      </c>
      <c r="K6" s="600">
        <f aca="true" t="shared" si="5" ref="K6:K15">J6/J5-1</f>
        <v>0.09472343885432877</v>
      </c>
      <c r="L6" s="621">
        <f>12088+1044.3*(A6-$A$5+1)+23.833*(A6-$A$5+1)^2</f>
        <v>14271.932</v>
      </c>
      <c r="M6" s="621">
        <f aca="true" t="shared" si="6" ref="M6:M15">-1240.9+0.0101*B6</f>
        <v>14585.4768</v>
      </c>
      <c r="N6" s="621">
        <f aca="true" t="shared" si="7" ref="N6:N15">9556.4-0.0024*B6+0.000000004*B6^2</f>
        <v>15617.231652096001</v>
      </c>
      <c r="O6" s="622">
        <f t="shared" si="0"/>
        <v>14942.936332100002</v>
      </c>
      <c r="P6" s="623">
        <f t="shared" si="1"/>
        <v>14499.18732</v>
      </c>
      <c r="Q6" s="600">
        <f>P6/P5-1</f>
        <v>0.13833957154241094</v>
      </c>
      <c r="R6" s="628">
        <f t="shared" si="2"/>
        <v>14863.546086000002</v>
      </c>
    </row>
    <row r="7" spans="1:18" ht="12.75">
      <c r="A7" s="638">
        <v>1997</v>
      </c>
      <c r="B7" s="85">
        <v>1679921</v>
      </c>
      <c r="C7" s="600">
        <f aca="true" t="shared" si="8" ref="C7:E15">B7/B6-1</f>
        <v>0.07208379494667416</v>
      </c>
      <c r="D7" s="85">
        <v>553097</v>
      </c>
      <c r="E7" s="600">
        <f t="shared" si="8"/>
        <v>-0.007999182146399386</v>
      </c>
      <c r="F7" s="595">
        <v>108.5</v>
      </c>
      <c r="G7" s="15"/>
      <c r="H7" s="603">
        <v>15566</v>
      </c>
      <c r="I7" s="605">
        <f t="shared" si="3"/>
        <v>0.05661145805050238</v>
      </c>
      <c r="J7" s="616">
        <f t="shared" si="4"/>
        <v>15506.7</v>
      </c>
      <c r="K7" s="600">
        <f t="shared" si="5"/>
        <v>0.08652727756835166</v>
      </c>
      <c r="L7" s="621">
        <f aca="true" t="shared" si="9" ref="L7:L15">12088+1044.3*(A7-$A$5+1)+23.833*(A7-$A$5+1)^2</f>
        <v>15435.396999999999</v>
      </c>
      <c r="M7" s="621">
        <f t="shared" si="6"/>
        <v>15726.302099999999</v>
      </c>
      <c r="N7" s="621">
        <f t="shared" si="7"/>
        <v>16813.127864964</v>
      </c>
      <c r="O7" s="622">
        <f t="shared" si="0"/>
        <v>15816.8640821</v>
      </c>
      <c r="P7" s="623">
        <f t="shared" si="1"/>
        <v>15580.829474999999</v>
      </c>
      <c r="Q7" s="600">
        <f aca="true" t="shared" si="10" ref="Q7:Q15">P7/P6-1</f>
        <v>0.07460019179888744</v>
      </c>
      <c r="R7" s="628">
        <f t="shared" si="2"/>
        <v>15711.804961000002</v>
      </c>
    </row>
    <row r="8" spans="1:18" ht="12.75">
      <c r="A8" s="638">
        <v>1998</v>
      </c>
      <c r="B8" s="85">
        <v>1839088</v>
      </c>
      <c r="C8" s="600">
        <f t="shared" si="8"/>
        <v>0.0947467172563472</v>
      </c>
      <c r="D8" s="85">
        <v>531383</v>
      </c>
      <c r="E8" s="600">
        <f t="shared" si="8"/>
        <v>-0.03925893649757639</v>
      </c>
      <c r="F8" s="595">
        <v>110.7</v>
      </c>
      <c r="G8" s="15"/>
      <c r="H8" s="603">
        <v>16455</v>
      </c>
      <c r="I8" s="605">
        <f t="shared" si="3"/>
        <v>0.05711165360400883</v>
      </c>
      <c r="J8" s="616">
        <f t="shared" si="4"/>
        <v>16741.6</v>
      </c>
      <c r="K8" s="600">
        <f t="shared" si="5"/>
        <v>0.07963654420347321</v>
      </c>
      <c r="L8" s="621">
        <f t="shared" si="9"/>
        <v>16646.528000000002</v>
      </c>
      <c r="M8" s="621">
        <f t="shared" si="6"/>
        <v>17333.888799999997</v>
      </c>
      <c r="N8" s="621">
        <f t="shared" si="7"/>
        <v>18671.567486976</v>
      </c>
      <c r="O8" s="622">
        <f t="shared" si="0"/>
        <v>16822.141385900002</v>
      </c>
      <c r="P8" s="623">
        <f t="shared" si="1"/>
        <v>16857.12193</v>
      </c>
      <c r="Q8" s="600">
        <f t="shared" si="10"/>
        <v>0.0819142817170202</v>
      </c>
      <c r="R8" s="628">
        <f t="shared" si="2"/>
        <v>16487.036384</v>
      </c>
    </row>
    <row r="9" spans="1:18" ht="12.75">
      <c r="A9" s="638">
        <v>1999</v>
      </c>
      <c r="B9" s="85">
        <v>1902293</v>
      </c>
      <c r="C9" s="600">
        <f t="shared" si="8"/>
        <v>0.034367577842930874</v>
      </c>
      <c r="D9" s="85">
        <v>552069</v>
      </c>
      <c r="E9" s="600">
        <f t="shared" si="8"/>
        <v>0.03892860704990553</v>
      </c>
      <c r="F9" s="595">
        <v>102.1</v>
      </c>
      <c r="G9" s="15"/>
      <c r="H9" s="603">
        <v>17790</v>
      </c>
      <c r="I9" s="605">
        <f t="shared" si="3"/>
        <v>0.08113035551504111</v>
      </c>
      <c r="J9" s="616">
        <f t="shared" si="4"/>
        <v>17976.5</v>
      </c>
      <c r="K9" s="600">
        <f t="shared" si="5"/>
        <v>0.07376236440961437</v>
      </c>
      <c r="L9" s="621">
        <f t="shared" si="9"/>
        <v>17905.325</v>
      </c>
      <c r="M9" s="621">
        <f t="shared" si="6"/>
        <v>17972.259299999998</v>
      </c>
      <c r="N9" s="621">
        <f t="shared" si="7"/>
        <v>19465.771431396002</v>
      </c>
      <c r="O9" s="622">
        <f t="shared" si="0"/>
        <v>17651.037817700002</v>
      </c>
      <c r="P9" s="623">
        <f t="shared" si="1"/>
        <v>18259.364215</v>
      </c>
      <c r="Q9" s="600">
        <f t="shared" si="10"/>
        <v>0.08318396763236802</v>
      </c>
      <c r="R9" s="628">
        <f t="shared" si="2"/>
        <v>17957.201037000003</v>
      </c>
    </row>
    <row r="10" spans="1:18" ht="12.75">
      <c r="A10" s="638">
        <v>2000</v>
      </c>
      <c r="B10" s="85">
        <v>1984833</v>
      </c>
      <c r="C10" s="600">
        <f t="shared" si="8"/>
        <v>0.04338974069714818</v>
      </c>
      <c r="D10" s="85">
        <v>585653</v>
      </c>
      <c r="E10" s="600">
        <f t="shared" si="8"/>
        <v>0.06083297558819645</v>
      </c>
      <c r="F10" s="595">
        <v>103.9</v>
      </c>
      <c r="G10" s="15"/>
      <c r="H10" s="603">
        <v>19068</v>
      </c>
      <c r="I10" s="605">
        <f t="shared" si="3"/>
        <v>0.07183811129848228</v>
      </c>
      <c r="J10" s="616">
        <f t="shared" si="4"/>
        <v>19211.4</v>
      </c>
      <c r="K10" s="600">
        <f t="shared" si="5"/>
        <v>0.0686952410090953</v>
      </c>
      <c r="L10" s="621">
        <f t="shared" si="9"/>
        <v>19211.788</v>
      </c>
      <c r="M10" s="621">
        <f t="shared" si="6"/>
        <v>18805.913299999997</v>
      </c>
      <c r="N10" s="621">
        <f t="shared" si="7"/>
        <v>20551.048951556</v>
      </c>
      <c r="O10" s="622">
        <f t="shared" si="0"/>
        <v>18829.825556900003</v>
      </c>
      <c r="P10" s="623">
        <f t="shared" si="1"/>
        <v>18858.917134999996</v>
      </c>
      <c r="Q10" s="600">
        <f t="shared" si="10"/>
        <v>0.03283536671597065</v>
      </c>
      <c r="R10" s="628">
        <f t="shared" si="2"/>
        <v>18908.367549000002</v>
      </c>
    </row>
    <row r="11" spans="1:18" s="31" customFormat="1" ht="13.5" thickBot="1">
      <c r="A11" s="638">
        <v>2001</v>
      </c>
      <c r="B11" s="85">
        <v>2157828</v>
      </c>
      <c r="C11" s="600">
        <f t="shared" si="8"/>
        <v>0.08715846622864487</v>
      </c>
      <c r="D11" s="85">
        <v>618519</v>
      </c>
      <c r="E11" s="600">
        <f t="shared" si="8"/>
        <v>0.056118554843909374</v>
      </c>
      <c r="F11" s="595">
        <v>104.7</v>
      </c>
      <c r="G11" s="85"/>
      <c r="H11" s="606">
        <v>20736</v>
      </c>
      <c r="I11" s="607">
        <f t="shared" si="3"/>
        <v>0.08747640025173076</v>
      </c>
      <c r="J11" s="617">
        <f t="shared" si="4"/>
        <v>20446.300000000003</v>
      </c>
      <c r="K11" s="602">
        <f t="shared" si="5"/>
        <v>0.06427954235506017</v>
      </c>
      <c r="L11" s="624">
        <f t="shared" si="9"/>
        <v>20565.916999999998</v>
      </c>
      <c r="M11" s="624">
        <f t="shared" si="6"/>
        <v>20553.1628</v>
      </c>
      <c r="N11" s="624">
        <f t="shared" si="7"/>
        <v>23002.499510336</v>
      </c>
      <c r="O11" s="625">
        <f t="shared" si="0"/>
        <v>20750.3102627</v>
      </c>
      <c r="P11" s="626">
        <f t="shared" si="1"/>
        <v>20396.481030000003</v>
      </c>
      <c r="Q11" s="602">
        <f t="shared" si="10"/>
        <v>0.08152980810051202</v>
      </c>
      <c r="R11" s="629">
        <f t="shared" si="2"/>
        <v>20638.813052000005</v>
      </c>
    </row>
    <row r="12" spans="1:18" s="31" customFormat="1" ht="12.75">
      <c r="A12" s="639">
        <v>2002</v>
      </c>
      <c r="B12" s="269">
        <v>2270000</v>
      </c>
      <c r="C12" s="601">
        <f t="shared" si="8"/>
        <v>0.05198375403414923</v>
      </c>
      <c r="D12" s="269">
        <v>637075</v>
      </c>
      <c r="E12" s="601">
        <v>0.026</v>
      </c>
      <c r="F12" s="598">
        <v>101.9</v>
      </c>
      <c r="G12" s="85"/>
      <c r="H12" s="613"/>
      <c r="I12" s="270"/>
      <c r="J12" s="604">
        <f t="shared" si="4"/>
        <v>21681.2</v>
      </c>
      <c r="K12" s="601">
        <f t="shared" si="5"/>
        <v>0.06039723568567412</v>
      </c>
      <c r="L12" s="618">
        <f t="shared" si="9"/>
        <v>21967.712</v>
      </c>
      <c r="M12" s="618">
        <f t="shared" si="6"/>
        <v>21686.1</v>
      </c>
      <c r="N12" s="618">
        <f t="shared" si="7"/>
        <v>24720.000000000004</v>
      </c>
      <c r="O12" s="619">
        <f t="shared" si="0"/>
        <v>21955.187697499998</v>
      </c>
      <c r="P12" s="655">
        <f t="shared" si="1"/>
        <v>21707.135609999998</v>
      </c>
      <c r="Q12" s="656">
        <f t="shared" si="10"/>
        <v>0.0642588580879333</v>
      </c>
      <c r="R12" s="627">
        <f t="shared" si="2"/>
        <v>21993.04236</v>
      </c>
    </row>
    <row r="13" spans="1:18" ht="12.75">
      <c r="A13" s="638">
        <v>2003</v>
      </c>
      <c r="B13" s="85">
        <v>2406000</v>
      </c>
      <c r="C13" s="600">
        <f t="shared" si="8"/>
        <v>0.05991189427312782</v>
      </c>
      <c r="D13" s="85">
        <v>668928</v>
      </c>
      <c r="E13" s="600">
        <f t="shared" si="8"/>
        <v>0.0499988227445749</v>
      </c>
      <c r="F13" s="595">
        <v>101.8</v>
      </c>
      <c r="G13" s="15"/>
      <c r="H13" s="283"/>
      <c r="I13" s="250"/>
      <c r="J13" s="603">
        <f t="shared" si="4"/>
        <v>22916.1</v>
      </c>
      <c r="K13" s="600">
        <f t="shared" si="5"/>
        <v>0.056957179491909926</v>
      </c>
      <c r="L13" s="621">
        <f t="shared" si="9"/>
        <v>23417.172999999995</v>
      </c>
      <c r="M13" s="621">
        <f t="shared" si="6"/>
        <v>23059.699999999997</v>
      </c>
      <c r="N13" s="621">
        <f t="shared" si="7"/>
        <v>26937.344</v>
      </c>
      <c r="O13" s="622">
        <f t="shared" si="0"/>
        <v>23553.1700864</v>
      </c>
      <c r="P13" s="657">
        <f t="shared" si="1"/>
        <v>22984.78742</v>
      </c>
      <c r="Q13" s="658">
        <f t="shared" si="10"/>
        <v>0.058858609120745475</v>
      </c>
      <c r="R13" s="628">
        <f t="shared" si="2"/>
        <v>23493.394684000003</v>
      </c>
    </row>
    <row r="14" spans="1:18" ht="12.75">
      <c r="A14" s="638">
        <v>2004</v>
      </c>
      <c r="B14" s="85">
        <v>2576000</v>
      </c>
      <c r="C14" s="600">
        <f t="shared" si="8"/>
        <v>0.07065669160432253</v>
      </c>
      <c r="D14" s="85">
        <v>702374</v>
      </c>
      <c r="E14" s="600">
        <f t="shared" si="8"/>
        <v>0.04999940202831987</v>
      </c>
      <c r="F14" s="595">
        <v>102.7</v>
      </c>
      <c r="G14" s="15"/>
      <c r="H14" s="283"/>
      <c r="I14" s="250"/>
      <c r="J14" s="603">
        <f t="shared" si="4"/>
        <v>24151</v>
      </c>
      <c r="K14" s="600">
        <f t="shared" si="5"/>
        <v>0.053887877954800434</v>
      </c>
      <c r="L14" s="621">
        <f t="shared" si="9"/>
        <v>24914.3</v>
      </c>
      <c r="M14" s="621">
        <f t="shared" si="6"/>
        <v>24776.699999999997</v>
      </c>
      <c r="N14" s="621">
        <f t="shared" si="7"/>
        <v>29917.104000000003</v>
      </c>
      <c r="O14" s="622">
        <f t="shared" si="0"/>
        <v>25457.2519262</v>
      </c>
      <c r="P14" s="657">
        <f t="shared" si="1"/>
        <v>24484.97113</v>
      </c>
      <c r="Q14" s="658">
        <f t="shared" si="10"/>
        <v>0.06526854839190865</v>
      </c>
      <c r="R14" s="628">
        <f t="shared" si="2"/>
        <v>25200.086642000002</v>
      </c>
    </row>
    <row r="15" spans="1:18" ht="13.5" thickBot="1">
      <c r="A15" s="640">
        <v>2005</v>
      </c>
      <c r="B15" s="17">
        <v>2771000</v>
      </c>
      <c r="C15" s="602">
        <f t="shared" si="8"/>
        <v>0.07569875776397517</v>
      </c>
      <c r="D15" s="17">
        <v>737493</v>
      </c>
      <c r="E15" s="602">
        <f t="shared" si="8"/>
        <v>0.05000042712287178</v>
      </c>
      <c r="F15" s="596">
        <v>102.3</v>
      </c>
      <c r="G15" s="15"/>
      <c r="H15" s="614"/>
      <c r="I15" s="92"/>
      <c r="J15" s="603">
        <f t="shared" si="4"/>
        <v>25385.9</v>
      </c>
      <c r="K15" s="600">
        <f t="shared" si="5"/>
        <v>0.05113245828330104</v>
      </c>
      <c r="L15" s="621">
        <f t="shared" si="9"/>
        <v>26459.093</v>
      </c>
      <c r="M15" s="621">
        <f t="shared" si="6"/>
        <v>26746.199999999997</v>
      </c>
      <c r="N15" s="621">
        <f t="shared" si="7"/>
        <v>33619.764</v>
      </c>
      <c r="O15" s="622">
        <f t="shared" si="0"/>
        <v>27593.762120900003</v>
      </c>
      <c r="P15" s="657">
        <f t="shared" si="1"/>
        <v>26341.153370000004</v>
      </c>
      <c r="Q15" s="658">
        <f t="shared" si="10"/>
        <v>0.07580904343912942</v>
      </c>
      <c r="R15" s="628">
        <f t="shared" si="2"/>
        <v>27230.337604000008</v>
      </c>
    </row>
    <row r="16" spans="8:18" ht="13.5" thickBot="1">
      <c r="H16" s="648" t="s">
        <v>197</v>
      </c>
      <c r="I16" s="649"/>
      <c r="J16" s="650">
        <f>'1 Regrese - Čas'!B7</f>
        <v>0.9944875783482735</v>
      </c>
      <c r="K16" s="651"/>
      <c r="L16" s="652">
        <v>0.995</v>
      </c>
      <c r="M16" s="652">
        <f>'2 Regrese - HDP'!B7</f>
        <v>0.9890868710823617</v>
      </c>
      <c r="N16" s="652">
        <v>0.993</v>
      </c>
      <c r="O16" s="653">
        <f>'3 Regrese - HDP,MO'!B7</f>
        <v>0.9954391900249323</v>
      </c>
      <c r="P16" s="650">
        <f>'4 Regrese - HDP,Inf'!B7</f>
        <v>0.9929526241381722</v>
      </c>
      <c r="Q16" s="651"/>
      <c r="R16" s="654">
        <f>'5 Regrese - HDP,MO,Inf'!B7</f>
        <v>0.9982289564664232</v>
      </c>
    </row>
    <row r="17" ht="12" customHeight="1" thickBot="1"/>
    <row r="18" spans="1:18" ht="33" thickBot="1">
      <c r="A18" s="641" t="s">
        <v>619</v>
      </c>
      <c r="B18" s="1262">
        <f>(B15/B11)^(1/4)-1</f>
        <v>0.06452269651162945</v>
      </c>
      <c r="C18" s="1263"/>
      <c r="D18" s="1262">
        <f>(D15/D11)^(1/4)-1</f>
        <v>0.04496372453440367</v>
      </c>
      <c r="E18" s="1263"/>
      <c r="F18" s="643">
        <f>(F15/F11)^(1/4)-1</f>
        <v>-0.005780588958404609</v>
      </c>
      <c r="G18" s="642"/>
      <c r="H18" s="644"/>
      <c r="I18" s="645">
        <f>(H11/H5)^(1/6)-1</f>
        <v>0.08313366176208126</v>
      </c>
      <c r="J18" s="1264">
        <f>(J15/J11)^(1/4)-1</f>
        <v>0.05558803541373325</v>
      </c>
      <c r="K18" s="1263"/>
      <c r="L18" s="646">
        <f aca="true" t="shared" si="11" ref="L18:R18">(L15/L11)^(1/4)-1</f>
        <v>0.06501743746400779</v>
      </c>
      <c r="M18" s="646">
        <f t="shared" si="11"/>
        <v>0.06806050615188997</v>
      </c>
      <c r="N18" s="646">
        <f t="shared" si="11"/>
        <v>0.0995244916042104</v>
      </c>
      <c r="O18" s="646">
        <f t="shared" si="11"/>
        <v>0.0738573161568612</v>
      </c>
      <c r="P18" s="1262">
        <f t="shared" si="11"/>
        <v>0.06603112571320224</v>
      </c>
      <c r="Q18" s="1263"/>
      <c r="R18" s="647">
        <f t="shared" si="11"/>
        <v>0.0717465079958195</v>
      </c>
    </row>
    <row r="19" spans="8:18" ht="12.75">
      <c r="H19" s="25"/>
      <c r="I19" s="25"/>
      <c r="J19" s="24"/>
      <c r="K19" s="24"/>
      <c r="L19" s="24"/>
      <c r="M19" s="24"/>
      <c r="N19" s="24"/>
      <c r="O19" s="24"/>
      <c r="P19" s="24"/>
      <c r="Q19" s="24"/>
      <c r="R19" s="24"/>
    </row>
    <row r="20" spans="8:18" ht="12.75">
      <c r="H20" s="25"/>
      <c r="I20" s="25"/>
      <c r="J20" s="24"/>
      <c r="K20" s="24"/>
      <c r="L20" s="24"/>
      <c r="M20" s="24"/>
      <c r="N20" s="24"/>
      <c r="O20" s="24"/>
      <c r="P20" s="24"/>
      <c r="Q20" s="24"/>
      <c r="R20" s="24"/>
    </row>
    <row r="21" spans="8:18" ht="12.75">
      <c r="H21" s="25"/>
      <c r="I21" s="25"/>
      <c r="J21" s="24"/>
      <c r="K21" s="24"/>
      <c r="L21" s="24"/>
      <c r="M21" s="24"/>
      <c r="N21" s="24"/>
      <c r="O21" s="24"/>
      <c r="P21" s="24"/>
      <c r="Q21" s="24"/>
      <c r="R21" s="24"/>
    </row>
    <row r="22" ht="12.75">
      <c r="B22" s="1" t="s">
        <v>149</v>
      </c>
    </row>
    <row r="23" ht="12.75">
      <c r="B23" t="s">
        <v>150</v>
      </c>
    </row>
    <row r="24" ht="14.25">
      <c r="B24" t="s">
        <v>151</v>
      </c>
    </row>
    <row r="26" ht="12.75">
      <c r="B26" s="1" t="s">
        <v>178</v>
      </c>
    </row>
    <row r="27" ht="12.75">
      <c r="B27" t="s">
        <v>179</v>
      </c>
    </row>
    <row r="28" ht="14.25">
      <c r="B28" t="s">
        <v>180</v>
      </c>
    </row>
    <row r="30" ht="12.75">
      <c r="B30" s="1" t="s">
        <v>188</v>
      </c>
    </row>
    <row r="31" ht="12.75">
      <c r="B31" t="s">
        <v>189</v>
      </c>
    </row>
    <row r="33" ht="12.75">
      <c r="B33" s="1" t="s">
        <v>192</v>
      </c>
    </row>
    <row r="34" ht="12.75">
      <c r="B34" t="s">
        <v>193</v>
      </c>
    </row>
    <row r="36" ht="12.75">
      <c r="B36" s="1" t="s">
        <v>190</v>
      </c>
    </row>
    <row r="37" ht="12.75">
      <c r="B37" t="s">
        <v>191</v>
      </c>
    </row>
    <row r="52" ht="12.75">
      <c r="M52" s="24"/>
    </row>
    <row r="66" spans="2:4" ht="14.25">
      <c r="B66" s="1" t="s">
        <v>626</v>
      </c>
      <c r="D66" t="s">
        <v>627</v>
      </c>
    </row>
    <row r="68" spans="4:6" ht="12.75">
      <c r="D68" t="s">
        <v>630</v>
      </c>
      <c r="F68" t="s">
        <v>628</v>
      </c>
    </row>
    <row r="69" spans="4:6" ht="12.75">
      <c r="D69" t="s">
        <v>629</v>
      </c>
      <c r="F69" t="s">
        <v>631</v>
      </c>
    </row>
  </sheetData>
  <mergeCells count="7">
    <mergeCell ref="J3:R3"/>
    <mergeCell ref="A3:F3"/>
    <mergeCell ref="H3:I3"/>
    <mergeCell ref="B18:C18"/>
    <mergeCell ref="D18:E18"/>
    <mergeCell ref="J18:K18"/>
    <mergeCell ref="P18:Q18"/>
  </mergeCells>
  <hyperlinks>
    <hyperlink ref="R1" location="Obsah!A1" display="Skok na obsah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10.875" style="0" customWidth="1"/>
    <col min="4" max="4" width="11.75390625" style="0" customWidth="1"/>
    <col min="5" max="5" width="14.75390625" style="0" customWidth="1"/>
    <col min="7" max="7" width="10.375" style="0" customWidth="1"/>
    <col min="8" max="8" width="11.25390625" style="0" customWidth="1"/>
  </cols>
  <sheetData>
    <row r="1" spans="1:9" ht="21" customHeight="1">
      <c r="A1" s="592" t="s">
        <v>634</v>
      </c>
      <c r="H1" s="1248" t="s">
        <v>785</v>
      </c>
      <c r="I1" s="31"/>
    </row>
    <row r="2" ht="13.5" thickBot="1"/>
    <row r="3" spans="1:8" ht="26.25" thickBot="1">
      <c r="A3" s="688" t="s">
        <v>145</v>
      </c>
      <c r="B3" s="630" t="s">
        <v>199</v>
      </c>
      <c r="C3" s="633" t="s">
        <v>224</v>
      </c>
      <c r="D3" s="630" t="s">
        <v>200</v>
      </c>
      <c r="E3" s="636" t="s">
        <v>225</v>
      </c>
      <c r="F3" s="636" t="s">
        <v>198</v>
      </c>
      <c r="G3" s="1265" t="s">
        <v>636</v>
      </c>
      <c r="H3" s="1266"/>
    </row>
    <row r="4" spans="1:16" ht="12.75">
      <c r="A4" s="685">
        <v>1995</v>
      </c>
      <c r="B4" s="667">
        <f>'6 Vnější potenciál'!H5</f>
        <v>12842</v>
      </c>
      <c r="C4" s="663"/>
      <c r="D4" s="672">
        <f aca="true" t="shared" si="0" ref="D4:D10">F4/B4</f>
        <v>0.09221305092664694</v>
      </c>
      <c r="E4" s="254"/>
      <c r="F4" s="678">
        <v>1184.2</v>
      </c>
      <c r="G4" s="31"/>
      <c r="H4" s="81"/>
      <c r="K4" s="27"/>
      <c r="L4" s="27"/>
      <c r="M4" s="27"/>
      <c r="N4" s="27"/>
      <c r="O4" s="27"/>
      <c r="P4" s="27"/>
    </row>
    <row r="5" spans="1:8" ht="12.75">
      <c r="A5" s="685">
        <v>1996</v>
      </c>
      <c r="B5" s="667">
        <f>'6 Vnější potenciál'!H6</f>
        <v>14732</v>
      </c>
      <c r="C5" s="663"/>
      <c r="D5" s="672">
        <f t="shared" si="0"/>
        <v>0.0909763100733098</v>
      </c>
      <c r="E5" s="212">
        <f aca="true" t="shared" si="1" ref="E5:E10">F5/F4-1</f>
        <v>0.1317877047795979</v>
      </c>
      <c r="F5" s="678">
        <v>1340.263</v>
      </c>
      <c r="G5" s="89"/>
      <c r="H5" s="81"/>
    </row>
    <row r="6" spans="1:8" ht="12.75">
      <c r="A6" s="685">
        <v>1997</v>
      </c>
      <c r="B6" s="667">
        <f>'6 Vnější potenciál'!H7</f>
        <v>15566</v>
      </c>
      <c r="C6" s="207">
        <f>'6 Vnější potenciál'!I7</f>
        <v>0.05661145805050238</v>
      </c>
      <c r="D6" s="672">
        <f t="shared" si="0"/>
        <v>0.09247732236926634</v>
      </c>
      <c r="E6" s="212">
        <f t="shared" si="1"/>
        <v>0.07404442262451472</v>
      </c>
      <c r="F6" s="678">
        <f>'9 Výsledovka'!D4/1000</f>
        <v>1439.502</v>
      </c>
      <c r="G6" s="89"/>
      <c r="H6" s="81"/>
    </row>
    <row r="7" spans="1:8" ht="12.75">
      <c r="A7" s="685">
        <v>1998</v>
      </c>
      <c r="B7" s="667">
        <f>'6 Vnější potenciál'!H8</f>
        <v>16455</v>
      </c>
      <c r="C7" s="207">
        <f>'6 Vnější potenciál'!I8</f>
        <v>0.05711165360400883</v>
      </c>
      <c r="D7" s="672">
        <f t="shared" si="0"/>
        <v>0.10737951990276512</v>
      </c>
      <c r="E7" s="212">
        <f t="shared" si="1"/>
        <v>0.22745921853529905</v>
      </c>
      <c r="F7" s="678">
        <f>'9 Výsledovka'!E4/1000</f>
        <v>1766.93</v>
      </c>
      <c r="G7" s="89"/>
      <c r="H7" s="81"/>
    </row>
    <row r="8" spans="1:8" ht="12.75">
      <c r="A8" s="685">
        <v>1999</v>
      </c>
      <c r="B8" s="667">
        <f>'6 Vnější potenciál'!H9</f>
        <v>17790</v>
      </c>
      <c r="C8" s="207">
        <f>'6 Vnější potenciál'!I9</f>
        <v>0.08113035551504111</v>
      </c>
      <c r="D8" s="672">
        <f t="shared" si="0"/>
        <v>0.10295772906127038</v>
      </c>
      <c r="E8" s="212">
        <f t="shared" si="1"/>
        <v>0.036610392035903994</v>
      </c>
      <c r="F8" s="678">
        <f>'9 Výsledovka'!F4/1000</f>
        <v>1831.618</v>
      </c>
      <c r="G8" s="89"/>
      <c r="H8" s="81"/>
    </row>
    <row r="9" spans="1:8" ht="12.75">
      <c r="A9" s="685">
        <v>2000</v>
      </c>
      <c r="B9" s="667">
        <f>'6 Vnější potenciál'!H10</f>
        <v>19068</v>
      </c>
      <c r="C9" s="207">
        <f>'6 Vnější potenciál'!I10</f>
        <v>0.07183811129848228</v>
      </c>
      <c r="D9" s="672">
        <f t="shared" si="0"/>
        <v>0.09442479546884833</v>
      </c>
      <c r="E9" s="212">
        <f t="shared" si="1"/>
        <v>-0.016993718122446877</v>
      </c>
      <c r="F9" s="678">
        <f>'9 Výsledovka'!G4/1000</f>
        <v>1800.492</v>
      </c>
      <c r="G9" s="89"/>
      <c r="H9" s="81"/>
    </row>
    <row r="10" spans="1:8" ht="13.5" thickBot="1">
      <c r="A10" s="686">
        <v>2001</v>
      </c>
      <c r="B10" s="668">
        <f>'6 Vnější potenciál'!H11</f>
        <v>20736</v>
      </c>
      <c r="C10" s="208">
        <f>'6 Vnější potenciál'!I11</f>
        <v>0.08747640025173076</v>
      </c>
      <c r="D10" s="673">
        <f t="shared" si="0"/>
        <v>0.09138493441358025</v>
      </c>
      <c r="E10" s="213">
        <f t="shared" si="1"/>
        <v>0.05246677019392476</v>
      </c>
      <c r="F10" s="679">
        <f>'9 Výsledovka'!H4/1000</f>
        <v>1894.958</v>
      </c>
      <c r="G10" s="660">
        <f>(F10/F6)^(1/4)-1</f>
        <v>0.07114145855958909</v>
      </c>
      <c r="H10" s="681" t="s">
        <v>607</v>
      </c>
    </row>
    <row r="11" spans="1:8" ht="12.75">
      <c r="A11" s="687">
        <v>2002</v>
      </c>
      <c r="B11" s="669">
        <f>'6 Vnější potenciál'!P12</f>
        <v>21707.135609999998</v>
      </c>
      <c r="C11" s="664">
        <f>'6 Vnější potenciál'!Q12</f>
        <v>0.0642588580879333</v>
      </c>
      <c r="D11" s="674">
        <v>0.09</v>
      </c>
      <c r="E11" s="675">
        <f>ROUND((1+C11)*D11/D10-1,3)</f>
        <v>0.048</v>
      </c>
      <c r="F11" s="680">
        <f>F10*(1+E11)</f>
        <v>1985.9159840000002</v>
      </c>
      <c r="G11" s="662"/>
      <c r="H11" s="682"/>
    </row>
    <row r="12" spans="1:8" ht="12.75">
      <c r="A12" s="685">
        <v>2003</v>
      </c>
      <c r="B12" s="670">
        <f>'6 Vnější potenciál'!P13</f>
        <v>22984.78742</v>
      </c>
      <c r="C12" s="665">
        <f>'6 Vnější potenciál'!Q13</f>
        <v>0.058858609120745475</v>
      </c>
      <c r="D12" s="672">
        <v>0.089</v>
      </c>
      <c r="E12" s="676">
        <f>ROUND((1+C12)*D12/D11-1,3)</f>
        <v>0.047</v>
      </c>
      <c r="F12" s="678">
        <f>F11*(1+E12)</f>
        <v>2079.254035248</v>
      </c>
      <c r="G12" s="222"/>
      <c r="H12" s="683"/>
    </row>
    <row r="13" spans="1:8" ht="12.75">
      <c r="A13" s="685">
        <v>2004</v>
      </c>
      <c r="B13" s="670">
        <f>'6 Vnější potenciál'!P14</f>
        <v>24484.97113</v>
      </c>
      <c r="C13" s="665">
        <f>'6 Vnější potenciál'!Q14</f>
        <v>0.06526854839190865</v>
      </c>
      <c r="D13" s="672">
        <v>0.087</v>
      </c>
      <c r="E13" s="676">
        <f>ROUND((1+C13)*D13/D12-1,3)</f>
        <v>0.041</v>
      </c>
      <c r="F13" s="678">
        <f>F12*(1+E13)</f>
        <v>2164.503450693168</v>
      </c>
      <c r="G13" s="222"/>
      <c r="H13" s="683"/>
    </row>
    <row r="14" spans="1:8" ht="13.5" thickBot="1">
      <c r="A14" s="686">
        <v>2005</v>
      </c>
      <c r="B14" s="671">
        <f>'6 Vnější potenciál'!P15</f>
        <v>26341.153370000004</v>
      </c>
      <c r="C14" s="666">
        <f>'6 Vnější potenciál'!Q15</f>
        <v>0.07580904343912942</v>
      </c>
      <c r="D14" s="673">
        <v>0.085</v>
      </c>
      <c r="E14" s="677">
        <f>ROUND((1+C14)*D14/D13-1,3)</f>
        <v>0.051</v>
      </c>
      <c r="F14" s="679">
        <f>F13*(1+E14)</f>
        <v>2274.8931266785194</v>
      </c>
      <c r="G14" s="660">
        <f>(F14/F10)^(1/4)-1</f>
        <v>0.046743692210981624</v>
      </c>
      <c r="H14" s="681" t="s">
        <v>635</v>
      </c>
    </row>
  </sheetData>
  <mergeCells count="1">
    <mergeCell ref="G3:H3"/>
  </mergeCells>
  <hyperlinks>
    <hyperlink ref="H1" location="Obsah!A1" display="Skok na obsa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9"/>
  <sheetViews>
    <sheetView showGridLines="0" workbookViewId="0" topLeftCell="A2">
      <pane ySplit="3" topLeftCell="BM5" activePane="bottomLeft" state="frozen"/>
      <selection pane="topLeft" activeCell="A1" sqref="A1:D1"/>
      <selection pane="bottomLeft" activeCell="A2" sqref="A2"/>
    </sheetView>
  </sheetViews>
  <sheetFormatPr defaultColWidth="9.00390625" defaultRowHeight="12.75"/>
  <cols>
    <col min="1" max="1" width="8.00390625" style="30" customWidth="1"/>
    <col min="2" max="2" width="40.75390625" style="30" customWidth="1"/>
    <col min="3" max="7" width="9.75390625" style="30" customWidth="1"/>
    <col min="8" max="8" width="9.125" style="692" customWidth="1"/>
    <col min="9" max="16384" width="9.125" style="30" customWidth="1"/>
  </cols>
  <sheetData>
    <row r="2" spans="1:9" ht="21" customHeight="1">
      <c r="A2" s="592" t="s">
        <v>642</v>
      </c>
      <c r="G2" s="1248" t="s">
        <v>785</v>
      </c>
      <c r="I2" s="31"/>
    </row>
    <row r="3" spans="1:9" ht="21" customHeight="1" thickBot="1">
      <c r="A3" s="713" t="s">
        <v>641</v>
      </c>
      <c r="I3" s="31"/>
    </row>
    <row r="4" spans="1:7" ht="13.5" thickBot="1">
      <c r="A4" s="714"/>
      <c r="B4" s="715" t="s">
        <v>236</v>
      </c>
      <c r="C4" s="716">
        <v>1997</v>
      </c>
      <c r="D4" s="717">
        <f>výchozí_rok+1</f>
        <v>1998</v>
      </c>
      <c r="E4" s="717">
        <f>výchozí_rok+2</f>
        <v>1999</v>
      </c>
      <c r="F4" s="717">
        <f>výchozí_rok+3</f>
        <v>2000</v>
      </c>
      <c r="G4" s="718">
        <f>výchozí_rok+4</f>
        <v>2001</v>
      </c>
    </row>
    <row r="5" spans="1:8" s="73" customFormat="1" ht="13.5" thickBot="1">
      <c r="A5" s="719"/>
      <c r="B5" s="720" t="s">
        <v>0</v>
      </c>
      <c r="C5" s="721">
        <f>C6+C15+C25</f>
        <v>540121.7</v>
      </c>
      <c r="D5" s="722">
        <f>D6+D15+D25</f>
        <v>640416.4619999999</v>
      </c>
      <c r="E5" s="722">
        <f>E6+E15+E25</f>
        <v>611134.8851</v>
      </c>
      <c r="F5" s="722">
        <f>F6+F15+F25</f>
        <v>635930.811653</v>
      </c>
      <c r="G5" s="723">
        <f>G6+G15+G25</f>
        <v>618251.2478860599</v>
      </c>
      <c r="H5" s="693"/>
    </row>
    <row r="6" spans="1:11" s="73" customFormat="1" ht="12.75">
      <c r="A6" s="730" t="s">
        <v>2</v>
      </c>
      <c r="B6" s="731" t="s">
        <v>444</v>
      </c>
      <c r="C6" s="732">
        <f>C7+C8+C12</f>
        <v>372118</v>
      </c>
      <c r="D6" s="733">
        <f>D7+D8+D12</f>
        <v>429968</v>
      </c>
      <c r="E6" s="733">
        <f>E7+E8+E12</f>
        <v>404354</v>
      </c>
      <c r="F6" s="733">
        <f>F7+F8+F12</f>
        <v>417356</v>
      </c>
      <c r="G6" s="734">
        <f>G7+G8+G12</f>
        <v>389694</v>
      </c>
      <c r="H6" s="694"/>
      <c r="I6" s="695"/>
      <c r="J6" s="695"/>
      <c r="K6" s="695"/>
    </row>
    <row r="7" spans="1:11" s="73" customFormat="1" ht="12.75">
      <c r="A7" s="236" t="s">
        <v>3</v>
      </c>
      <c r="B7" s="237" t="s">
        <v>4</v>
      </c>
      <c r="C7" s="696">
        <v>648</v>
      </c>
      <c r="D7" s="697">
        <v>992</v>
      </c>
      <c r="E7" s="697">
        <v>1402</v>
      </c>
      <c r="F7" s="697">
        <v>1474</v>
      </c>
      <c r="G7" s="698">
        <v>1164</v>
      </c>
      <c r="H7" s="694"/>
      <c r="I7" s="695"/>
      <c r="J7" s="695"/>
      <c r="K7" s="695"/>
    </row>
    <row r="8" spans="1:11" s="73" customFormat="1" ht="12.75">
      <c r="A8" s="224" t="s">
        <v>5</v>
      </c>
      <c r="B8" s="229" t="s">
        <v>6</v>
      </c>
      <c r="C8" s="699">
        <f>SUM(C9:C11)</f>
        <v>370196</v>
      </c>
      <c r="D8" s="700">
        <f>SUM(D9:D11)</f>
        <v>427702</v>
      </c>
      <c r="E8" s="700">
        <f>SUM(E9:E11)</f>
        <v>401678</v>
      </c>
      <c r="F8" s="700">
        <f>SUM(F9:F11)</f>
        <v>406608</v>
      </c>
      <c r="G8" s="701">
        <f>SUM(G9:G11)</f>
        <v>380024</v>
      </c>
      <c r="H8" s="694"/>
      <c r="I8" s="695"/>
      <c r="J8" s="695"/>
      <c r="K8" s="695"/>
    </row>
    <row r="9" spans="1:11" ht="12.75">
      <c r="A9" s="225" t="s">
        <v>7</v>
      </c>
      <c r="B9" s="230" t="s">
        <v>8</v>
      </c>
      <c r="C9" s="202">
        <v>14524</v>
      </c>
      <c r="D9" s="184">
        <v>14524</v>
      </c>
      <c r="E9" s="184">
        <v>14524</v>
      </c>
      <c r="F9" s="184">
        <v>14524</v>
      </c>
      <c r="G9" s="200">
        <v>14524</v>
      </c>
      <c r="H9" s="694"/>
      <c r="I9" s="695"/>
      <c r="J9" s="695"/>
      <c r="K9" s="695"/>
    </row>
    <row r="10" spans="1:14" ht="12.75">
      <c r="A10" s="225" t="s">
        <v>9</v>
      </c>
      <c r="B10" s="230" t="s">
        <v>10</v>
      </c>
      <c r="C10" s="202">
        <v>317466</v>
      </c>
      <c r="D10" s="184">
        <v>352702</v>
      </c>
      <c r="E10" s="184">
        <v>336494</v>
      </c>
      <c r="F10" s="184">
        <v>329438</v>
      </c>
      <c r="G10" s="200">
        <v>321000</v>
      </c>
      <c r="H10" s="694"/>
      <c r="I10" s="695"/>
      <c r="J10" s="695"/>
      <c r="K10" s="695"/>
      <c r="L10" s="695"/>
      <c r="M10" s="695"/>
      <c r="N10" s="695"/>
    </row>
    <row r="11" spans="1:13" ht="12.75">
      <c r="A11" s="238" t="s">
        <v>11</v>
      </c>
      <c r="B11" s="239" t="s">
        <v>202</v>
      </c>
      <c r="C11" s="702">
        <v>38206</v>
      </c>
      <c r="D11" s="703">
        <v>60476</v>
      </c>
      <c r="E11" s="703">
        <v>50660</v>
      </c>
      <c r="F11" s="703">
        <v>62646</v>
      </c>
      <c r="G11" s="704">
        <v>44500</v>
      </c>
      <c r="H11" s="694"/>
      <c r="I11" s="695"/>
      <c r="J11" s="695"/>
      <c r="K11" s="695"/>
      <c r="L11" s="695"/>
      <c r="M11" s="695"/>
    </row>
    <row r="12" spans="1:11" s="73" customFormat="1" ht="12.75">
      <c r="A12" s="224" t="s">
        <v>13</v>
      </c>
      <c r="B12" s="229" t="s">
        <v>14</v>
      </c>
      <c r="C12" s="699">
        <f>C13+C14</f>
        <v>1274</v>
      </c>
      <c r="D12" s="700">
        <f>D13+D14</f>
        <v>1274</v>
      </c>
      <c r="E12" s="700">
        <f>E13+E14</f>
        <v>1274</v>
      </c>
      <c r="F12" s="700">
        <f>F13+F14</f>
        <v>9274</v>
      </c>
      <c r="G12" s="701">
        <f>G13+G14</f>
        <v>8506</v>
      </c>
      <c r="H12" s="694"/>
      <c r="I12" s="695"/>
      <c r="J12" s="695"/>
      <c r="K12" s="695"/>
    </row>
    <row r="13" spans="1:11" ht="12.75">
      <c r="A13" s="225" t="s">
        <v>16</v>
      </c>
      <c r="B13" s="230" t="s">
        <v>17</v>
      </c>
      <c r="C13" s="202">
        <v>1274</v>
      </c>
      <c r="D13" s="184">
        <v>1274</v>
      </c>
      <c r="E13" s="184">
        <v>1274</v>
      </c>
      <c r="F13" s="184">
        <v>1274</v>
      </c>
      <c r="G13" s="200">
        <v>1274</v>
      </c>
      <c r="H13" s="694"/>
      <c r="I13" s="695"/>
      <c r="J13" s="695"/>
      <c r="K13" s="695"/>
    </row>
    <row r="14" spans="1:11" ht="13.5" thickBot="1">
      <c r="A14" s="232" t="s">
        <v>18</v>
      </c>
      <c r="B14" s="233" t="s">
        <v>201</v>
      </c>
      <c r="C14" s="705">
        <v>0</v>
      </c>
      <c r="D14" s="706">
        <v>0</v>
      </c>
      <c r="E14" s="706">
        <v>0</v>
      </c>
      <c r="F14" s="706">
        <v>8000</v>
      </c>
      <c r="G14" s="707">
        <v>7232</v>
      </c>
      <c r="H14" s="708"/>
      <c r="I14" s="695"/>
      <c r="J14" s="695"/>
      <c r="K14" s="695"/>
    </row>
    <row r="15" spans="1:11" s="73" customFormat="1" ht="12.75">
      <c r="A15" s="730" t="s">
        <v>19</v>
      </c>
      <c r="B15" s="731" t="s">
        <v>20</v>
      </c>
      <c r="C15" s="732">
        <f>C16+C19+C20+C22</f>
        <v>165853.69999999995</v>
      </c>
      <c r="D15" s="733">
        <f>D16+D19+D20+D22</f>
        <v>206700.46199999994</v>
      </c>
      <c r="E15" s="733">
        <f>E16+E19+E20+E22</f>
        <v>203578.88509999996</v>
      </c>
      <c r="F15" s="733">
        <f>F16+F19+F20+F22</f>
        <v>209536.81165299995</v>
      </c>
      <c r="G15" s="734">
        <f>G16+G19+G20+G22</f>
        <v>214671.24788605995</v>
      </c>
      <c r="H15" s="694"/>
      <c r="I15" s="695"/>
      <c r="J15" s="695"/>
      <c r="K15" s="695"/>
    </row>
    <row r="16" spans="1:11" s="73" customFormat="1" ht="12.75">
      <c r="A16" s="224" t="s">
        <v>21</v>
      </c>
      <c r="B16" s="229" t="s">
        <v>22</v>
      </c>
      <c r="C16" s="699">
        <f>C17+C18</f>
        <v>108746</v>
      </c>
      <c r="D16" s="700">
        <f>D17+D18</f>
        <v>137642</v>
      </c>
      <c r="E16" s="700">
        <f>E17+E18</f>
        <v>138478</v>
      </c>
      <c r="F16" s="700">
        <f>F17+F18</f>
        <v>141368</v>
      </c>
      <c r="G16" s="701">
        <f>G17+G18</f>
        <v>133568</v>
      </c>
      <c r="H16" s="694"/>
      <c r="I16" s="695"/>
      <c r="J16" s="695"/>
      <c r="K16" s="695"/>
    </row>
    <row r="17" spans="1:14" ht="12.75">
      <c r="A17" s="225" t="s">
        <v>23</v>
      </c>
      <c r="B17" s="230" t="s">
        <v>24</v>
      </c>
      <c r="C17" s="202">
        <v>1998</v>
      </c>
      <c r="D17" s="184">
        <v>1896</v>
      </c>
      <c r="E17" s="184">
        <v>2038</v>
      </c>
      <c r="F17" s="184">
        <v>2258</v>
      </c>
      <c r="G17" s="200">
        <v>1290</v>
      </c>
      <c r="H17" s="694"/>
      <c r="I17" s="695"/>
      <c r="J17" s="695"/>
      <c r="K17" s="695"/>
      <c r="L17" s="695"/>
      <c r="M17" s="695"/>
      <c r="N17" s="695"/>
    </row>
    <row r="18" spans="1:13" ht="12.75">
      <c r="A18" s="238" t="s">
        <v>25</v>
      </c>
      <c r="B18" s="239" t="s">
        <v>26</v>
      </c>
      <c r="C18" s="702">
        <v>106748</v>
      </c>
      <c r="D18" s="703">
        <v>135746</v>
      </c>
      <c r="E18" s="703">
        <v>136440</v>
      </c>
      <c r="F18" s="703">
        <v>139110</v>
      </c>
      <c r="G18" s="704">
        <v>132278</v>
      </c>
      <c r="H18" s="694"/>
      <c r="I18" s="695"/>
      <c r="J18" s="695"/>
      <c r="K18" s="695"/>
      <c r="L18" s="695"/>
      <c r="M18" s="695"/>
    </row>
    <row r="19" spans="1:11" s="73" customFormat="1" ht="12.75">
      <c r="A19" s="236" t="s">
        <v>27</v>
      </c>
      <c r="B19" s="237" t="s">
        <v>28</v>
      </c>
      <c r="C19" s="696">
        <v>0</v>
      </c>
      <c r="D19" s="697">
        <v>0</v>
      </c>
      <c r="E19" s="697">
        <v>0</v>
      </c>
      <c r="F19" s="697">
        <v>0</v>
      </c>
      <c r="G19" s="698">
        <v>0</v>
      </c>
      <c r="H19" s="694"/>
      <c r="I19" s="695"/>
      <c r="J19" s="695"/>
      <c r="K19" s="695"/>
    </row>
    <row r="20" spans="1:11" s="73" customFormat="1" ht="12.75">
      <c r="A20" s="224" t="s">
        <v>29</v>
      </c>
      <c r="B20" s="229" t="s">
        <v>30</v>
      </c>
      <c r="C20" s="699">
        <f>SUM(C21:C21)</f>
        <v>44240</v>
      </c>
      <c r="D20" s="700">
        <f>SUM(D21:D21)</f>
        <v>44624</v>
      </c>
      <c r="E20" s="700">
        <f>SUM(E21:E21)</f>
        <v>46660</v>
      </c>
      <c r="F20" s="700">
        <f>SUM(F21:F21)</f>
        <v>47032</v>
      </c>
      <c r="G20" s="701">
        <f>SUM(G21:G21)</f>
        <v>59126</v>
      </c>
      <c r="H20" s="694"/>
      <c r="I20" s="695"/>
      <c r="J20" s="695"/>
      <c r="K20" s="695"/>
    </row>
    <row r="21" spans="1:14" ht="12.75">
      <c r="A21" s="225" t="s">
        <v>31</v>
      </c>
      <c r="B21" s="230" t="s">
        <v>445</v>
      </c>
      <c r="C21" s="202">
        <v>44240</v>
      </c>
      <c r="D21" s="184">
        <v>44624</v>
      </c>
      <c r="E21" s="184">
        <v>46660</v>
      </c>
      <c r="F21" s="184">
        <v>47032</v>
      </c>
      <c r="G21" s="200">
        <v>59126</v>
      </c>
      <c r="H21" s="694"/>
      <c r="I21" s="695"/>
      <c r="J21" s="695"/>
      <c r="K21" s="695"/>
      <c r="L21" s="695"/>
      <c r="M21" s="695"/>
      <c r="N21" s="695"/>
    </row>
    <row r="22" spans="1:11" s="73" customFormat="1" ht="12.75">
      <c r="A22" s="725" t="s">
        <v>32</v>
      </c>
      <c r="B22" s="726" t="s">
        <v>34</v>
      </c>
      <c r="C22" s="727">
        <f>C23</f>
        <v>12867.699999999953</v>
      </c>
      <c r="D22" s="728">
        <f>D23</f>
        <v>24434.461999999956</v>
      </c>
      <c r="E22" s="728">
        <f>E23</f>
        <v>18440.885099999956</v>
      </c>
      <c r="F22" s="728">
        <f>F23</f>
        <v>21136.811652999953</v>
      </c>
      <c r="G22" s="729">
        <f>G23</f>
        <v>21977.24788605995</v>
      </c>
      <c r="H22" s="694"/>
      <c r="I22" s="695"/>
      <c r="J22" s="695"/>
      <c r="K22" s="695"/>
    </row>
    <row r="23" spans="1:11" ht="12.75">
      <c r="A23" s="225" t="s">
        <v>203</v>
      </c>
      <c r="B23" s="230" t="s">
        <v>204</v>
      </c>
      <c r="C23" s="699">
        <f>C27-C6-C16-C19-C20-C25</f>
        <v>12867.699999999953</v>
      </c>
      <c r="D23" s="700">
        <f>'10 Cash flow'!C33</f>
        <v>24434.461999999956</v>
      </c>
      <c r="E23" s="700">
        <f>'10 Cash flow'!D33</f>
        <v>18440.885099999956</v>
      </c>
      <c r="F23" s="700">
        <f>'10 Cash flow'!E33</f>
        <v>21136.811652999953</v>
      </c>
      <c r="G23" s="701">
        <f>'10 Cash flow'!F33</f>
        <v>21977.24788605995</v>
      </c>
      <c r="H23" s="694"/>
      <c r="I23" s="695"/>
      <c r="J23" s="695"/>
      <c r="K23" s="695"/>
    </row>
    <row r="24" spans="1:11" ht="13.5" thickBot="1">
      <c r="A24" s="225" t="s">
        <v>33</v>
      </c>
      <c r="B24" s="230" t="s">
        <v>446</v>
      </c>
      <c r="C24" s="202">
        <v>0</v>
      </c>
      <c r="D24" s="184">
        <v>0</v>
      </c>
      <c r="E24" s="184">
        <v>0</v>
      </c>
      <c r="F24" s="184">
        <v>0</v>
      </c>
      <c r="G24" s="200">
        <v>0</v>
      </c>
      <c r="H24" s="694"/>
      <c r="I24" s="695"/>
      <c r="J24" s="695"/>
      <c r="K24" s="695"/>
    </row>
    <row r="25" spans="1:12" s="73" customFormat="1" ht="13.5" thickBot="1">
      <c r="A25" s="735" t="s">
        <v>35</v>
      </c>
      <c r="B25" s="736" t="s">
        <v>36</v>
      </c>
      <c r="C25" s="737">
        <v>2150</v>
      </c>
      <c r="D25" s="738">
        <v>3748</v>
      </c>
      <c r="E25" s="738">
        <v>3202</v>
      </c>
      <c r="F25" s="738">
        <v>9038</v>
      </c>
      <c r="G25" s="739">
        <v>13886</v>
      </c>
      <c r="H25" s="694"/>
      <c r="I25" s="695"/>
      <c r="J25" s="695"/>
      <c r="K25" s="695"/>
      <c r="L25" s="695"/>
    </row>
    <row r="26" spans="1:11" ht="13.5" thickBot="1">
      <c r="A26" s="3"/>
      <c r="B26" s="4"/>
      <c r="C26" s="29"/>
      <c r="D26" s="29"/>
      <c r="E26" s="29"/>
      <c r="F26" s="29"/>
      <c r="G26" s="29"/>
      <c r="H26" s="694"/>
      <c r="I26" s="695"/>
      <c r="J26" s="695"/>
      <c r="K26" s="695"/>
    </row>
    <row r="27" spans="1:11" s="73" customFormat="1" ht="13.5" thickBot="1">
      <c r="A27" s="724"/>
      <c r="B27" s="720" t="s">
        <v>37</v>
      </c>
      <c r="C27" s="721">
        <f>C28+C35+C47</f>
        <v>540121.7</v>
      </c>
      <c r="D27" s="722">
        <f>D28+D35+D47</f>
        <v>640416.462</v>
      </c>
      <c r="E27" s="722">
        <f>E28+E35+E47</f>
        <v>611134.8851000001</v>
      </c>
      <c r="F27" s="722">
        <f>F28+F35+F47</f>
        <v>635930.8116530001</v>
      </c>
      <c r="G27" s="723">
        <f>G28+G35+G47</f>
        <v>618251.24788606</v>
      </c>
      <c r="H27" s="694"/>
      <c r="I27" s="695"/>
      <c r="J27" s="695"/>
      <c r="K27" s="695"/>
    </row>
    <row r="28" spans="1:11" s="73" customFormat="1" ht="12.75">
      <c r="A28" s="730" t="s">
        <v>1</v>
      </c>
      <c r="B28" s="731" t="s">
        <v>38</v>
      </c>
      <c r="C28" s="732">
        <f>C29+C30+C31+C33+C34</f>
        <v>260665.7</v>
      </c>
      <c r="D28" s="733">
        <f>D29+D30+D31+D33+D34</f>
        <v>271546.462</v>
      </c>
      <c r="E28" s="733">
        <f>E29+E30+E31+E33+E34</f>
        <v>262896.8851</v>
      </c>
      <c r="F28" s="733">
        <f>F29+F30+F31+F33+F34</f>
        <v>274614.811653</v>
      </c>
      <c r="G28" s="734">
        <f>G29+G30+G31+G33+G34</f>
        <v>285865.24788606004</v>
      </c>
      <c r="H28" s="708"/>
      <c r="I28" s="695"/>
      <c r="J28" s="695"/>
      <c r="K28" s="695"/>
    </row>
    <row r="29" spans="1:11" s="73" customFormat="1" ht="12.75">
      <c r="A29" s="236" t="s">
        <v>39</v>
      </c>
      <c r="B29" s="237" t="s">
        <v>40</v>
      </c>
      <c r="C29" s="696">
        <v>150000</v>
      </c>
      <c r="D29" s="697">
        <f>C29</f>
        <v>150000</v>
      </c>
      <c r="E29" s="697">
        <f>D29</f>
        <v>150000</v>
      </c>
      <c r="F29" s="697">
        <f>E29</f>
        <v>150000</v>
      </c>
      <c r="G29" s="698">
        <f>F29</f>
        <v>150000</v>
      </c>
      <c r="H29" s="708"/>
      <c r="I29" s="695"/>
      <c r="J29" s="695"/>
      <c r="K29" s="695"/>
    </row>
    <row r="30" spans="1:11" s="73" customFormat="1" ht="12.75">
      <c r="A30" s="236" t="s">
        <v>41</v>
      </c>
      <c r="B30" s="237" t="s">
        <v>42</v>
      </c>
      <c r="C30" s="696">
        <v>11610</v>
      </c>
      <c r="D30" s="697">
        <v>11610</v>
      </c>
      <c r="E30" s="697">
        <v>11610</v>
      </c>
      <c r="F30" s="697">
        <v>11610</v>
      </c>
      <c r="G30" s="698">
        <v>11610</v>
      </c>
      <c r="H30" s="694"/>
      <c r="I30" s="695"/>
      <c r="J30" s="695"/>
      <c r="K30" s="695"/>
    </row>
    <row r="31" spans="1:11" s="73" customFormat="1" ht="12.75">
      <c r="A31" s="224" t="s">
        <v>43</v>
      </c>
      <c r="B31" s="229" t="s">
        <v>44</v>
      </c>
      <c r="C31" s="699">
        <f>C32</f>
        <v>30000</v>
      </c>
      <c r="D31" s="700">
        <f>D32</f>
        <v>30000</v>
      </c>
      <c r="E31" s="700">
        <f>E32</f>
        <v>30000</v>
      </c>
      <c r="F31" s="700">
        <f>F32</f>
        <v>30000</v>
      </c>
      <c r="G31" s="701">
        <f>G32</f>
        <v>30000</v>
      </c>
      <c r="H31" s="694"/>
      <c r="I31" s="695"/>
      <c r="J31" s="695"/>
      <c r="K31" s="695"/>
    </row>
    <row r="32" spans="1:11" ht="12.75">
      <c r="A32" s="238" t="s">
        <v>45</v>
      </c>
      <c r="B32" s="239" t="s">
        <v>46</v>
      </c>
      <c r="C32" s="702">
        <v>30000</v>
      </c>
      <c r="D32" s="703">
        <v>30000</v>
      </c>
      <c r="E32" s="703">
        <v>30000</v>
      </c>
      <c r="F32" s="703">
        <v>30000</v>
      </c>
      <c r="G32" s="704">
        <v>30000</v>
      </c>
      <c r="H32" s="694"/>
      <c r="I32" s="695"/>
      <c r="J32" s="695"/>
      <c r="K32" s="695"/>
    </row>
    <row r="33" spans="1:11" s="73" customFormat="1" ht="12.75">
      <c r="A33" s="224" t="s">
        <v>47</v>
      </c>
      <c r="B33" s="229" t="s">
        <v>48</v>
      </c>
      <c r="C33" s="202">
        <v>43817</v>
      </c>
      <c r="D33" s="700">
        <f>C33+C34+'10 Cash flow'!C30</f>
        <v>54055.7</v>
      </c>
      <c r="E33" s="700">
        <f>D33+D34+'10 Cash flow'!D30</f>
        <v>59936.462</v>
      </c>
      <c r="F33" s="700">
        <f>E33+E34+'10 Cash flow'!E30</f>
        <v>46286.8851</v>
      </c>
      <c r="G33" s="701">
        <f>F33+F34+'10 Cash flow'!F30</f>
        <v>56004.811653</v>
      </c>
      <c r="H33" s="694"/>
      <c r="I33" s="695"/>
      <c r="J33" s="695"/>
      <c r="K33" s="695"/>
    </row>
    <row r="34" spans="1:11" s="73" customFormat="1" ht="13.5" thickBot="1">
      <c r="A34" s="234" t="s">
        <v>49</v>
      </c>
      <c r="B34" s="235" t="s">
        <v>448</v>
      </c>
      <c r="C34" s="709">
        <f>'9 Výsledovka'!D28</f>
        <v>25238.7</v>
      </c>
      <c r="D34" s="710">
        <f>'9 Výsledovka'!E28</f>
        <v>25880.762000000002</v>
      </c>
      <c r="E34" s="710">
        <f>'9 Výsledovka'!F28</f>
        <v>11350.423099999996</v>
      </c>
      <c r="F34" s="710">
        <f>'9 Výsledovka'!G28</f>
        <v>36717.926553</v>
      </c>
      <c r="G34" s="711">
        <f>'9 Výsledovka'!H28</f>
        <v>38250.43623306</v>
      </c>
      <c r="H34" s="694"/>
      <c r="I34" s="695"/>
      <c r="J34" s="695"/>
      <c r="K34" s="695"/>
    </row>
    <row r="35" spans="1:11" s="73" customFormat="1" ht="12.75">
      <c r="A35" s="730" t="s">
        <v>2</v>
      </c>
      <c r="B35" s="731" t="s">
        <v>50</v>
      </c>
      <c r="C35" s="732">
        <f>C36+C37+C39+C44</f>
        <v>249412</v>
      </c>
      <c r="D35" s="733">
        <f>D36+D37+D39+D44</f>
        <v>333900</v>
      </c>
      <c r="E35" s="733">
        <f>E36+E37+E39+E44</f>
        <v>328658</v>
      </c>
      <c r="F35" s="733">
        <f>F36+F37+F39+F44</f>
        <v>347742</v>
      </c>
      <c r="G35" s="734">
        <f>G36+G37+G39+G44</f>
        <v>320470</v>
      </c>
      <c r="H35" s="694"/>
      <c r="I35" s="695"/>
      <c r="J35" s="695"/>
      <c r="K35" s="695"/>
    </row>
    <row r="36" spans="1:13" s="73" customFormat="1" ht="12.75">
      <c r="A36" s="236" t="s">
        <v>3</v>
      </c>
      <c r="B36" s="237" t="s">
        <v>51</v>
      </c>
      <c r="C36" s="696">
        <v>0</v>
      </c>
      <c r="D36" s="697">
        <f>C36-'9 Výsledovka'!E16</f>
        <v>3810</v>
      </c>
      <c r="E36" s="697">
        <f>D36-'9 Výsledovka'!F16</f>
        <v>9414</v>
      </c>
      <c r="F36" s="697">
        <f>E36-'9 Výsledovka'!G16</f>
        <v>3976</v>
      </c>
      <c r="G36" s="698">
        <f>F36-'9 Výsledovka'!H16</f>
        <v>5070</v>
      </c>
      <c r="H36" s="694"/>
      <c r="I36" s="695"/>
      <c r="J36" s="695"/>
      <c r="K36" s="695"/>
      <c r="L36" s="695"/>
      <c r="M36" s="30"/>
    </row>
    <row r="37" spans="1:11" s="73" customFormat="1" ht="12.75">
      <c r="A37" s="224" t="s">
        <v>5</v>
      </c>
      <c r="B37" s="229" t="s">
        <v>52</v>
      </c>
      <c r="C37" s="699">
        <f>SUM(C38:C38)</f>
        <v>14538</v>
      </c>
      <c r="D37" s="700">
        <f>SUM(D38:D38)</f>
        <v>39466</v>
      </c>
      <c r="E37" s="700">
        <f>SUM(E38:E38)</f>
        <v>28892</v>
      </c>
      <c r="F37" s="700">
        <f>SUM(F38:F38)</f>
        <v>20730</v>
      </c>
      <c r="G37" s="701">
        <f>SUM(G38:G38)</f>
        <v>12770</v>
      </c>
      <c r="H37" s="694"/>
      <c r="I37" s="695"/>
      <c r="J37" s="695"/>
      <c r="K37" s="695"/>
    </row>
    <row r="38" spans="1:11" ht="12.75">
      <c r="A38" s="238" t="s">
        <v>12</v>
      </c>
      <c r="B38" s="239" t="s">
        <v>449</v>
      </c>
      <c r="C38" s="702">
        <v>14538</v>
      </c>
      <c r="D38" s="703">
        <v>39466</v>
      </c>
      <c r="E38" s="703">
        <v>28892</v>
      </c>
      <c r="F38" s="703">
        <v>20730</v>
      </c>
      <c r="G38" s="704">
        <v>12770</v>
      </c>
      <c r="H38" s="694"/>
      <c r="I38" s="695"/>
      <c r="J38" s="695"/>
      <c r="K38" s="695"/>
    </row>
    <row r="39" spans="1:11" s="73" customFormat="1" ht="12.75">
      <c r="A39" s="224" t="s">
        <v>13</v>
      </c>
      <c r="B39" s="229" t="s">
        <v>53</v>
      </c>
      <c r="C39" s="699">
        <f>SUM(C40:C43)</f>
        <v>118534</v>
      </c>
      <c r="D39" s="700">
        <f>SUM(D40:D43)</f>
        <v>167874</v>
      </c>
      <c r="E39" s="700">
        <f>SUM(E40:E43)</f>
        <v>179620</v>
      </c>
      <c r="F39" s="700">
        <f>SUM(F40:F43)</f>
        <v>193110</v>
      </c>
      <c r="G39" s="701">
        <f>SUM(G40:G43)</f>
        <v>196254</v>
      </c>
      <c r="H39" s="694"/>
      <c r="I39" s="695"/>
      <c r="J39" s="695"/>
      <c r="K39" s="695"/>
    </row>
    <row r="40" spans="1:11" ht="12.75">
      <c r="A40" s="225" t="s">
        <v>15</v>
      </c>
      <c r="B40" s="230" t="s">
        <v>450</v>
      </c>
      <c r="C40" s="202">
        <v>82794</v>
      </c>
      <c r="D40" s="184">
        <v>115788</v>
      </c>
      <c r="E40" s="184">
        <v>119928</v>
      </c>
      <c r="F40" s="184">
        <v>138666</v>
      </c>
      <c r="G40" s="200">
        <v>145572</v>
      </c>
      <c r="H40" s="694"/>
      <c r="I40" s="695"/>
      <c r="J40" s="695"/>
      <c r="K40" s="695"/>
    </row>
    <row r="41" spans="1:11" ht="12.75">
      <c r="A41" s="225" t="s">
        <v>18</v>
      </c>
      <c r="B41" s="230" t="s">
        <v>54</v>
      </c>
      <c r="C41" s="202">
        <v>29370</v>
      </c>
      <c r="D41" s="184">
        <v>43184</v>
      </c>
      <c r="E41" s="184">
        <v>49758</v>
      </c>
      <c r="F41" s="184">
        <v>44966</v>
      </c>
      <c r="G41" s="200">
        <v>41678</v>
      </c>
      <c r="H41" s="694"/>
      <c r="I41" s="695"/>
      <c r="J41" s="695"/>
      <c r="K41" s="695"/>
    </row>
    <row r="42" spans="1:11" ht="12.75">
      <c r="A42" s="225" t="s">
        <v>56</v>
      </c>
      <c r="B42" s="230" t="s">
        <v>451</v>
      </c>
      <c r="C42" s="202">
        <v>2978</v>
      </c>
      <c r="D42" s="184">
        <v>3694</v>
      </c>
      <c r="E42" s="184">
        <v>3630</v>
      </c>
      <c r="F42" s="184">
        <v>3762</v>
      </c>
      <c r="G42" s="200">
        <v>3446</v>
      </c>
      <c r="H42" s="694"/>
      <c r="I42" s="695"/>
      <c r="J42" s="695"/>
      <c r="K42" s="695"/>
    </row>
    <row r="43" spans="1:11" ht="12.75">
      <c r="A43" s="238" t="s">
        <v>57</v>
      </c>
      <c r="B43" s="239" t="s">
        <v>55</v>
      </c>
      <c r="C43" s="702">
        <v>3392</v>
      </c>
      <c r="D43" s="703">
        <v>5208</v>
      </c>
      <c r="E43" s="703">
        <v>6304</v>
      </c>
      <c r="F43" s="703">
        <v>5716</v>
      </c>
      <c r="G43" s="704">
        <v>5558</v>
      </c>
      <c r="H43" s="694"/>
      <c r="I43" s="695"/>
      <c r="J43" s="695"/>
      <c r="K43" s="695"/>
    </row>
    <row r="44" spans="1:11" s="73" customFormat="1" ht="12.75">
      <c r="A44" s="224" t="s">
        <v>58</v>
      </c>
      <c r="B44" s="229" t="s">
        <v>59</v>
      </c>
      <c r="C44" s="699">
        <f>C45+C46</f>
        <v>116340</v>
      </c>
      <c r="D44" s="700">
        <f>D45+D46</f>
        <v>122750</v>
      </c>
      <c r="E44" s="700">
        <f>E45+E46</f>
        <v>110732</v>
      </c>
      <c r="F44" s="700">
        <f>F45+F46</f>
        <v>129926</v>
      </c>
      <c r="G44" s="701">
        <f>G45+G46</f>
        <v>106376</v>
      </c>
      <c r="H44" s="694"/>
      <c r="I44" s="695"/>
      <c r="J44" s="695"/>
      <c r="K44" s="695"/>
    </row>
    <row r="45" spans="1:11" ht="12.75">
      <c r="A45" s="225" t="s">
        <v>60</v>
      </c>
      <c r="B45" s="230" t="s">
        <v>61</v>
      </c>
      <c r="C45" s="202">
        <v>46694</v>
      </c>
      <c r="D45" s="184">
        <v>55694</v>
      </c>
      <c r="E45" s="184">
        <v>54060</v>
      </c>
      <c r="F45" s="184">
        <v>95922</v>
      </c>
      <c r="G45" s="200">
        <v>69882</v>
      </c>
      <c r="H45" s="694"/>
      <c r="I45" s="695"/>
      <c r="J45" s="695"/>
      <c r="K45" s="695"/>
    </row>
    <row r="46" spans="1:11" ht="13.5" thickBot="1">
      <c r="A46" s="225" t="s">
        <v>62</v>
      </c>
      <c r="B46" s="230" t="s">
        <v>452</v>
      </c>
      <c r="C46" s="202">
        <v>69646</v>
      </c>
      <c r="D46" s="184">
        <v>67056</v>
      </c>
      <c r="E46" s="184">
        <v>56672</v>
      </c>
      <c r="F46" s="184">
        <v>34004</v>
      </c>
      <c r="G46" s="200">
        <v>36494</v>
      </c>
      <c r="H46" s="694"/>
      <c r="I46" s="695"/>
      <c r="J46" s="695"/>
      <c r="K46" s="695"/>
    </row>
    <row r="47" spans="1:12" s="73" customFormat="1" ht="13.5" thickBot="1">
      <c r="A47" s="735" t="s">
        <v>19</v>
      </c>
      <c r="B47" s="736" t="s">
        <v>36</v>
      </c>
      <c r="C47" s="737">
        <v>30044</v>
      </c>
      <c r="D47" s="738">
        <v>34970</v>
      </c>
      <c r="E47" s="738">
        <v>19580</v>
      </c>
      <c r="F47" s="738">
        <v>13574</v>
      </c>
      <c r="G47" s="739">
        <v>11916</v>
      </c>
      <c r="H47" s="694"/>
      <c r="I47" s="695"/>
      <c r="J47" s="695"/>
      <c r="K47" s="695"/>
      <c r="L47" s="695"/>
    </row>
    <row r="49" spans="2:7" ht="12.75">
      <c r="B49" s="4" t="s">
        <v>63</v>
      </c>
      <c r="C49" s="712">
        <f>C5-C27</f>
        <v>0</v>
      </c>
      <c r="D49" s="712">
        <f>D5-D27</f>
        <v>0</v>
      </c>
      <c r="E49" s="712">
        <f>E5-E27</f>
        <v>0</v>
      </c>
      <c r="F49" s="712">
        <f>F5-F27</f>
        <v>0</v>
      </c>
      <c r="G49" s="712">
        <f>G5-G27</f>
        <v>0</v>
      </c>
    </row>
  </sheetData>
  <hyperlinks>
    <hyperlink ref="G2" location="Obsah!A1" display="Skok na obsah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&amp;LMařík, M. a kol.: Metody oceňování podniku - 1. díl, Ekopress 2003&amp;RPříklad UNIPO, a.s.</oddHeader>
    <oddFooter>&amp;C&amp;A&amp;R&amp;"Arial CE,kurzíva"© M. Mařík, P. Maříková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Mařík Miloš</dc:creator>
  <cp:keywords/>
  <dc:description/>
  <cp:lastModifiedBy>Mařík Miloš</cp:lastModifiedBy>
  <cp:lastPrinted>2003-05-16T11:15:45Z</cp:lastPrinted>
  <dcterms:created xsi:type="dcterms:W3CDTF">2002-11-20T15:45:06Z</dcterms:created>
  <dcterms:modified xsi:type="dcterms:W3CDTF">2003-05-18T09:10:58Z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